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301"/>
  </bookViews>
  <sheets>
    <sheet name="orçamento" sheetId="1" r:id="rId1"/>
    <sheet name="cronograma" sheetId="2" r:id="rId2"/>
  </sheets>
  <definedNames>
    <definedName name="_xlnm.Print_Area" localSheetId="1">cronograma!$A$1:$O$29</definedName>
    <definedName name="_xlnm.Print_Area" localSheetId="0">orçamento!$A$1:$G$85</definedName>
    <definedName name="Excel_BuiltIn_Print_Area" localSheetId="0">orçamento!$A$1:$G$80</definedName>
  </definedNames>
  <calcPr calcId="124519"/>
</workbook>
</file>

<file path=xl/calcChain.xml><?xml version="1.0" encoding="utf-8"?>
<calcChain xmlns="http://schemas.openxmlformats.org/spreadsheetml/2006/main">
  <c r="I13" i="1"/>
  <c r="I14" s="1"/>
  <c r="I15"/>
  <c r="I22"/>
  <c r="I23"/>
  <c r="I24"/>
  <c r="I31"/>
  <c r="I33"/>
  <c r="I32" s="1"/>
  <c r="I39"/>
  <c r="I42"/>
  <c r="I43"/>
  <c r="I44"/>
  <c r="I47"/>
  <c r="I48"/>
  <c r="I56"/>
  <c r="A1" i="2"/>
  <c r="A5"/>
  <c r="B7"/>
  <c r="O8"/>
  <c r="B9"/>
  <c r="O10"/>
  <c r="B11"/>
  <c r="O12"/>
  <c r="B13"/>
  <c r="O14"/>
  <c r="O19"/>
  <c r="G13" i="1"/>
  <c r="E14"/>
  <c r="G14" s="1"/>
  <c r="G17" s="1"/>
  <c r="E15"/>
  <c r="G15"/>
  <c r="E16"/>
  <c r="G16"/>
  <c r="G19"/>
  <c r="G20"/>
  <c r="G21"/>
  <c r="G22"/>
  <c r="G23"/>
  <c r="G24"/>
  <c r="G25"/>
  <c r="G26"/>
  <c r="G27"/>
  <c r="G28"/>
  <c r="G29"/>
  <c r="G30"/>
  <c r="G31"/>
  <c r="E33"/>
  <c r="G33" s="1"/>
  <c r="G34"/>
  <c r="G35"/>
  <c r="G38"/>
  <c r="G39"/>
  <c r="G40"/>
  <c r="G41"/>
  <c r="G42"/>
  <c r="G43"/>
  <c r="G44"/>
  <c r="G45"/>
  <c r="G46"/>
  <c r="G57" s="1"/>
  <c r="C11" i="2" s="1"/>
  <c r="G47" i="1"/>
  <c r="G48"/>
  <c r="E49"/>
  <c r="G49"/>
  <c r="G50"/>
  <c r="G51"/>
  <c r="G52"/>
  <c r="G53"/>
  <c r="G54"/>
  <c r="G55"/>
  <c r="G56"/>
  <c r="G59"/>
  <c r="G60" s="1"/>
  <c r="G67"/>
  <c r="G68"/>
  <c r="G72"/>
  <c r="C13" i="2" s="1"/>
  <c r="F13" l="1"/>
  <c r="H13"/>
  <c r="E13"/>
  <c r="G13"/>
  <c r="E11"/>
  <c r="G11"/>
  <c r="F11"/>
  <c r="H11"/>
  <c r="C7"/>
  <c r="E32" i="1"/>
  <c r="G32" s="1"/>
  <c r="G36" s="1"/>
  <c r="C9" i="2" s="1"/>
  <c r="F9" l="1"/>
  <c r="H9"/>
  <c r="E9"/>
  <c r="G9"/>
  <c r="E7"/>
  <c r="G7"/>
  <c r="I7"/>
  <c r="K7"/>
  <c r="M7"/>
  <c r="J9"/>
  <c r="L9"/>
  <c r="N9"/>
  <c r="I11"/>
  <c r="K11"/>
  <c r="M11"/>
  <c r="J13"/>
  <c r="L13"/>
  <c r="N13"/>
  <c r="F7"/>
  <c r="H7"/>
  <c r="H17" s="1"/>
  <c r="J7"/>
  <c r="L7"/>
  <c r="N7"/>
  <c r="I9"/>
  <c r="K9"/>
  <c r="M9"/>
  <c r="J11"/>
  <c r="L11"/>
  <c r="N11"/>
  <c r="I13"/>
  <c r="I17" s="1"/>
  <c r="K13"/>
  <c r="K17" s="1"/>
  <c r="M13"/>
  <c r="M17" s="1"/>
  <c r="E17"/>
  <c r="G61" i="1"/>
  <c r="C17" i="2"/>
  <c r="O11" l="1"/>
  <c r="F17"/>
  <c r="G17"/>
  <c r="D11"/>
  <c r="D13"/>
  <c r="F70" i="1"/>
  <c r="G70" s="1"/>
  <c r="F71"/>
  <c r="G71" s="1"/>
  <c r="G75"/>
  <c r="F77" s="1"/>
  <c r="G77" s="1"/>
  <c r="F63"/>
  <c r="G63" s="1"/>
  <c r="F64"/>
  <c r="G64" s="1"/>
  <c r="D7" i="2"/>
  <c r="L17"/>
  <c r="O7"/>
  <c r="O9"/>
  <c r="O13"/>
  <c r="N17"/>
  <c r="J17"/>
  <c r="D9"/>
  <c r="O17" l="1"/>
  <c r="G65" i="1"/>
  <c r="D17" i="2"/>
  <c r="G73" i="1" l="1"/>
  <c r="F74" s="1"/>
  <c r="G74" s="1"/>
  <c r="G78"/>
</calcChain>
</file>

<file path=xl/sharedStrings.xml><?xml version="1.0" encoding="utf-8"?>
<sst xmlns="http://schemas.openxmlformats.org/spreadsheetml/2006/main" count="148" uniqueCount="107">
  <si>
    <t>ORÇAMENTO</t>
  </si>
  <si>
    <t>OBRA: LIGAÇÃO DA REDE EXISTENTE DO CONDOMÍNIO VILA REAL AO LAGO DO SILVÉRIO COM A CONSTRUÇÃO DE ESCADA HIDRÁULICA</t>
  </si>
  <si>
    <r>
      <t>CRONOGRAMA PARA EXECUÇÃO:</t>
    </r>
    <r>
      <rPr>
        <b/>
        <sz val="10"/>
        <rFont val="Tahoma"/>
        <family val="2"/>
      </rPr>
      <t xml:space="preserve"> 4 meses</t>
    </r>
  </si>
  <si>
    <r>
      <t>DATA BASE:</t>
    </r>
    <r>
      <rPr>
        <b/>
        <sz val="10"/>
        <rFont val="Tahoma"/>
        <family val="2"/>
      </rPr>
      <t xml:space="preserve"> </t>
    </r>
  </si>
  <si>
    <t>JAN/2019 – SIURB (sem desoneração) / SINAPI INSUMOS JUN/2019 (sem desoneração)</t>
  </si>
  <si>
    <t>ITEM</t>
  </si>
  <si>
    <t>CÓDIGO</t>
  </si>
  <si>
    <t>DESCRIÇÃO</t>
  </si>
  <si>
    <t>UN.</t>
  </si>
  <si>
    <t>QTDE.</t>
  </si>
  <si>
    <t>VALOR (R$)</t>
  </si>
  <si>
    <t>UNIT.</t>
  </si>
  <si>
    <t>TOTAL</t>
  </si>
  <si>
    <t>MOVIMENTO DE TERRA</t>
  </si>
  <si>
    <t>Escavação mecânica para fundações e valas com profundidade menor ou igual à 4,0m</t>
  </si>
  <si>
    <t>m³</t>
  </si>
  <si>
    <t>Reenchimento de vala com compactação, sem fornecimento de terra</t>
  </si>
  <si>
    <t>Carga e remoção de terra até a distância média de 1,0km (Considerando 30% de empolamento)</t>
  </si>
  <si>
    <t>Remoção de terra além do primeiro km (bota-fora ~15km)</t>
  </si>
  <si>
    <t>m³xkm</t>
  </si>
  <si>
    <t>subtotal</t>
  </si>
  <si>
    <t>ESTRUTURAS</t>
  </si>
  <si>
    <t>Fundação de rachão</t>
  </si>
  <si>
    <t>Arrancamento e remoção de canalização ( &gt; ø0,60m)</t>
  </si>
  <si>
    <t>m</t>
  </si>
  <si>
    <t>Escoramento descontinuo de madeira para canaliz.de tubos</t>
  </si>
  <si>
    <t xml:space="preserve">m² </t>
  </si>
  <si>
    <t>Escoramento continuo de madeira para canaliz.de tubos</t>
  </si>
  <si>
    <t xml:space="preserve">Lastro de brita e pó de pedra </t>
  </si>
  <si>
    <t>Fornecimento e assentamento de tubos de concreto armado, ø1,50m TIPO PA-2</t>
  </si>
  <si>
    <t>Poço de visita tipo 1(2,90x2,90x2,50)</t>
  </si>
  <si>
    <t>un</t>
  </si>
  <si>
    <t>Chaminé de poço de visita com alvenaria de 1 tijolo comum</t>
  </si>
  <si>
    <t>Instalação de tampão para galeria de águas pluvais - articulado, exceto fornecimento de tampão</t>
  </si>
  <si>
    <t>Fornecimento de tampão de ferro fundido dúctil classe mínima 400 (40T) D=600 mm - NBR 10160 não articulado - p/ gal. águas pluviais</t>
  </si>
  <si>
    <t>Boca de lobo dupla</t>
  </si>
  <si>
    <t>Boca de lobo tripla</t>
  </si>
  <si>
    <t>Forma, inclusive cimbramento</t>
  </si>
  <si>
    <t>m²</t>
  </si>
  <si>
    <t>Fornecimento e aplicação de aço CA-50 diâmetro &lt; ou = a 1/2"</t>
  </si>
  <si>
    <t>kg</t>
  </si>
  <si>
    <t>Fornecimento e aplicação de concreto usinado Fck=30,00 Mpa</t>
  </si>
  <si>
    <t>Tapume móvel</t>
  </si>
  <si>
    <t>Iluminação</t>
  </si>
  <si>
    <t xml:space="preserve"> PAVIMENTAÇÃO</t>
  </si>
  <si>
    <t>Arrancamento de guias, inclui carga em caminhão</t>
  </si>
  <si>
    <t xml:space="preserve">Demolição de pavimento de concreto, sarjeta ou sarjetão, inclui carga em caminhão </t>
  </si>
  <si>
    <t xml:space="preserve">Demolição de pavimento asfáltico, inclusive capa, inclui carga no caminhão </t>
  </si>
  <si>
    <t>Base de concreto fck=15MPa para guias, sarjetas ou sarjetões</t>
  </si>
  <si>
    <t>Fornecimento e assentamento de guias tipo PMSP 100, inclusive encostamento de terra - fck=25MPa</t>
  </si>
  <si>
    <t>Construção de sarjeta ou sarjetão de concreto - fck=20MPa</t>
  </si>
  <si>
    <t>Base de binder denso (sem transporte)</t>
  </si>
  <si>
    <t xml:space="preserve">Imprimação betuminosa ligante </t>
  </si>
  <si>
    <t xml:space="preserve">Imprimação betuminosa impermeabilizante </t>
  </si>
  <si>
    <t>Revestimento de concreto asfáltico (sem transporte)</t>
  </si>
  <si>
    <t>Passeio de concreto fck=15MPa, inclusive preparo de caixa e lastro de brita</t>
  </si>
  <si>
    <t>Brita graduada</t>
  </si>
  <si>
    <t xml:space="preserve">Carga, descarga e transporte de concreto asfáltico, até a distância média de ida e volta de 1 km </t>
  </si>
  <si>
    <t>Transporte de concreto asfáltico, além do primeiro km (15km)</t>
  </si>
  <si>
    <t xml:space="preserve">Carga, descarga e transporte de binder, até a distância média de ida e volta de 1 km </t>
  </si>
  <si>
    <t>Transporte de binder além do primeiro km (15km)</t>
  </si>
  <si>
    <t>Transporte de pavimento de concreto, sarjeta e sarjetão (15Km)</t>
  </si>
  <si>
    <t>m²xkm</t>
  </si>
  <si>
    <t>Transporte de guias (15km)</t>
  </si>
  <si>
    <t>mxkm</t>
  </si>
  <si>
    <t>Fundação de agregado reciclado, com fornecimento de agregado</t>
  </si>
  <si>
    <t>ESGOTAMENTO D'ÁGUA</t>
  </si>
  <si>
    <t>Esgotamento d'água com bomba submersa</t>
  </si>
  <si>
    <t>hpxh</t>
  </si>
  <si>
    <t>VALOR DOS SERVIÇOS (*I)</t>
  </si>
  <si>
    <t>PROJETO EXECUTIVO E A.T.O.</t>
  </si>
  <si>
    <t>Projeto executivo (4% do valor dos serviços)</t>
  </si>
  <si>
    <t>vb</t>
  </si>
  <si>
    <t>A.T.O. (2% do valos dos serviços)</t>
  </si>
  <si>
    <t xml:space="preserve">TOTA PROJETO EXECUTIVO E A.T.O. (*II) </t>
  </si>
  <si>
    <t>CANTEIRO DE OBRAS</t>
  </si>
  <si>
    <t>LOCACAO DE CONTAINER 2,30 X 6,00 M, ALT. 2,50 M, COM 1 SANITARIO, PARA ESCRITORIO, COMPLETO, SEM DIVISORIAS INTERNAS</t>
  </si>
  <si>
    <t>mês</t>
  </si>
  <si>
    <t>10-16-03</t>
  </si>
  <si>
    <t>Placa de obra em chapa de aço galvanizado 1,00m x 1,50m</t>
  </si>
  <si>
    <t>Manutenção do Canteiro de Obras (máximo 0,5% do valor dos serviços)</t>
  </si>
  <si>
    <t>Desmobilização do Canteiro de Obras (máximo 0,5% do valor dos serviços)</t>
  </si>
  <si>
    <t>TOTAL DE CANTEIRO DE OBRAS (*II)</t>
  </si>
  <si>
    <t>TOTAL DA OBRA</t>
  </si>
  <si>
    <t>SERVIÇOS EVENTUAIS (10% DO TOTAL DA OBRA)</t>
  </si>
  <si>
    <t>TOTAL SEM BDI</t>
  </si>
  <si>
    <t>PROJETO EXECUTIVO E A.T.O.   (5% DO VALOR DA OBRA SEM BDI)</t>
  </si>
  <si>
    <t>BDI SOBRE TOTAL DOS SERVIÇOS (I)(25%) (*III)</t>
  </si>
  <si>
    <t>TOTAL GERAL COM BDI (I + II + III)</t>
  </si>
  <si>
    <t>06 agosto de 2019.</t>
  </si>
  <si>
    <t>CRONOGRAMA FÍSICO-FINANCEIRO</t>
  </si>
  <si>
    <t>ETAPAS DA CONSTRUÇÃO</t>
  </si>
  <si>
    <t>VALOR DA ETAPA</t>
  </si>
  <si>
    <t>%</t>
  </si>
  <si>
    <t>1°  MÊS</t>
  </si>
  <si>
    <t>2°  MÊS</t>
  </si>
  <si>
    <t>3°  MÊS</t>
  </si>
  <si>
    <t>4°  MÊS</t>
  </si>
  <si>
    <t>5°  MÊS</t>
  </si>
  <si>
    <t>6°  MÊS</t>
  </si>
  <si>
    <t>7°  MÊS</t>
  </si>
  <si>
    <t>8°  MÊS</t>
  </si>
  <si>
    <t>9°  MÊS</t>
  </si>
  <si>
    <t>10°  MÊS</t>
  </si>
  <si>
    <t>TOTAL/SERV.</t>
  </si>
  <si>
    <t>TOTAL DAS ETAPAS / TOTAL GERAL</t>
  </si>
  <si>
    <t>Prazo para a execução da obra: 4 (quatro) meses.</t>
  </si>
</sst>
</file>

<file path=xl/styles.xml><?xml version="1.0" encoding="utf-8"?>
<styleSheet xmlns="http://schemas.openxmlformats.org/spreadsheetml/2006/main">
  <numFmts count="7">
    <numFmt numFmtId="164" formatCode="_(* #,##0.00_);_(* \(#,##0.00\);_(* \-??_);_(@_)"/>
    <numFmt numFmtId="165" formatCode="_(* #,##0_);_(* \(#,##0\);_(* \-_);_(@_)"/>
    <numFmt numFmtId="166" formatCode="mm/yy"/>
    <numFmt numFmtId="167" formatCode="_-* #,##0.00_-;\-* #,##0.00_-;_-* \-??_-;_-@_-"/>
    <numFmt numFmtId="168" formatCode="_(* #,##0_);_(* \(#,##0\);_(* \-??_);_(@_)"/>
    <numFmt numFmtId="169" formatCode="00\-00\-00"/>
    <numFmt numFmtId="170" formatCode="&quot;R$ &quot;#,##0.00"/>
  </numFmts>
  <fonts count="36">
    <font>
      <sz val="10"/>
      <name val="Arial"/>
      <family val="2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Tahoma"/>
      <family val="2"/>
      <charset val="1"/>
    </font>
    <font>
      <b/>
      <sz val="14"/>
      <name val="Tahoma"/>
      <family val="2"/>
      <charset val="1"/>
    </font>
    <font>
      <b/>
      <sz val="16"/>
      <name val="Tahoma"/>
      <family val="2"/>
      <charset val="1"/>
    </font>
    <font>
      <b/>
      <sz val="10"/>
      <name val="Tahoma"/>
      <family val="2"/>
      <charset val="1"/>
    </font>
    <font>
      <b/>
      <sz val="12"/>
      <name val="Tahoma"/>
      <family val="2"/>
      <charset val="1"/>
    </font>
    <font>
      <b/>
      <sz val="10"/>
      <name val="Tahoma"/>
      <family val="2"/>
    </font>
    <font>
      <b/>
      <sz val="10"/>
      <color indexed="8"/>
      <name val="Tahoma"/>
      <family val="2"/>
      <charset val="1"/>
    </font>
    <font>
      <sz val="8"/>
      <name val="Tahoma"/>
      <family val="2"/>
      <charset val="1"/>
    </font>
    <font>
      <sz val="10"/>
      <color indexed="8"/>
      <name val="Tahoma"/>
      <family val="2"/>
      <charset val="1"/>
    </font>
    <font>
      <b/>
      <i/>
      <sz val="10"/>
      <name val="Tahoma"/>
      <family val="2"/>
      <charset val="1"/>
    </font>
    <font>
      <sz val="11"/>
      <color indexed="8"/>
      <name val="Tahoma"/>
      <family val="2"/>
      <charset val="1"/>
    </font>
    <font>
      <b/>
      <sz val="10"/>
      <color indexed="50"/>
      <name val="Tahoma"/>
      <family val="2"/>
      <charset val="1"/>
    </font>
    <font>
      <sz val="10"/>
      <color indexed="50"/>
      <name val="Tahoma"/>
      <family val="2"/>
      <charset val="1"/>
    </font>
    <font>
      <sz val="10"/>
      <color indexed="9"/>
      <name val="Tahoma"/>
      <family val="2"/>
      <charset val="1"/>
    </font>
    <font>
      <sz val="10"/>
      <color indexed="10"/>
      <name val="Tahoma"/>
      <family val="2"/>
      <charset val="1"/>
    </font>
    <font>
      <b/>
      <sz val="16"/>
      <color indexed="8"/>
      <name val="Arial"/>
      <family val="2"/>
      <charset val="1"/>
    </font>
    <font>
      <b/>
      <sz val="14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sz val="6"/>
      <name val="Arial"/>
      <family val="2"/>
      <charset val="1"/>
    </font>
    <font>
      <b/>
      <sz val="7"/>
      <name val="Arial"/>
      <family val="2"/>
      <charset val="1"/>
    </font>
    <font>
      <b/>
      <sz val="12"/>
      <name val="Arial"/>
      <family val="2"/>
      <charset val="1"/>
    </font>
    <font>
      <sz val="11"/>
      <color indexed="8"/>
      <name val="Arial"/>
      <family val="2"/>
      <charset val="1"/>
    </font>
    <font>
      <b/>
      <sz val="10"/>
      <name val="Arial"/>
      <family val="2"/>
      <charset val="1"/>
    </font>
    <font>
      <sz val="8"/>
      <color indexed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7">
    <xf numFmtId="0" fontId="0" fillId="0" borderId="0"/>
    <xf numFmtId="167" fontId="5" fillId="0" borderId="0"/>
    <xf numFmtId="0" fontId="1" fillId="0" borderId="0"/>
    <xf numFmtId="0" fontId="3" fillId="0" borderId="0"/>
    <xf numFmtId="164" fontId="4" fillId="0" borderId="0" applyFill="0" applyBorder="0" applyAlignment="0" applyProtection="0"/>
    <xf numFmtId="164" fontId="5" fillId="0" borderId="0"/>
    <xf numFmtId="0" fontId="5" fillId="0" borderId="0"/>
  </cellStyleXfs>
  <cellXfs count="18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center" vertical="center" wrapText="1"/>
      <protection locked="0"/>
    </xf>
    <xf numFmtId="165" fontId="6" fillId="0" borderId="0" xfId="2" applyNumberFormat="1" applyFont="1" applyAlignment="1" applyProtection="1">
      <alignment horizontal="center" vertical="center"/>
      <protection locked="0"/>
    </xf>
    <xf numFmtId="4" fontId="9" fillId="0" borderId="0" xfId="2" applyNumberFormat="1" applyFont="1" applyAlignment="1" applyProtection="1">
      <alignment vertical="center"/>
      <protection locked="0"/>
    </xf>
    <xf numFmtId="4" fontId="9" fillId="0" borderId="0" xfId="2" applyNumberFormat="1" applyFont="1" applyBorder="1" applyAlignment="1" applyProtection="1">
      <alignment horizontal="center" vertical="center"/>
      <protection locked="0"/>
    </xf>
    <xf numFmtId="4" fontId="9" fillId="0" borderId="0" xfId="2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" fontId="12" fillId="0" borderId="0" xfId="2" applyNumberFormat="1" applyFont="1" applyBorder="1" applyAlignment="1" applyProtection="1">
      <alignment vertical="center"/>
      <protection locked="0"/>
    </xf>
    <xf numFmtId="166" fontId="6" fillId="0" borderId="0" xfId="0" applyNumberFormat="1" applyFont="1" applyAlignment="1" applyProtection="1">
      <alignment horizontal="center" vertical="center"/>
      <protection locked="0"/>
    </xf>
    <xf numFmtId="3" fontId="13" fillId="0" borderId="0" xfId="2" applyNumberFormat="1" applyFont="1" applyFill="1" applyBorder="1" applyAlignment="1" applyProtection="1">
      <alignment horizontal="left" vertical="center"/>
      <protection locked="0"/>
    </xf>
    <xf numFmtId="3" fontId="6" fillId="0" borderId="0" xfId="2" applyNumberFormat="1" applyFont="1" applyFill="1" applyAlignment="1" applyProtection="1">
      <alignment horizontal="center" vertical="center"/>
      <protection locked="0"/>
    </xf>
    <xf numFmtId="4" fontId="6" fillId="0" borderId="0" xfId="2" applyNumberFormat="1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7" fontId="9" fillId="2" borderId="1" xfId="1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168" fontId="12" fillId="0" borderId="1" xfId="1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1" xfId="1" applyNumberFormat="1" applyFont="1" applyFill="1" applyBorder="1" applyAlignment="1" applyProtection="1">
      <alignment horizontal="center" vertical="center"/>
      <protection locked="0"/>
    </xf>
    <xf numFmtId="169" fontId="1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3" applyFont="1" applyFill="1" applyBorder="1" applyAlignment="1" applyProtection="1">
      <alignment vertical="center" wrapText="1"/>
      <protection locked="0"/>
    </xf>
    <xf numFmtId="0" fontId="14" fillId="0" borderId="1" xfId="3" applyFont="1" applyFill="1" applyBorder="1" applyAlignment="1" applyProtection="1">
      <alignment horizontal="center" vertical="center" wrapText="1"/>
      <protection locked="0"/>
    </xf>
    <xf numFmtId="2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Alignment="1" applyProtection="1">
      <alignment vertical="center"/>
      <protection locked="0"/>
    </xf>
    <xf numFmtId="1" fontId="9" fillId="0" borderId="1" xfId="0" applyNumberFormat="1" applyFont="1" applyFill="1" applyBorder="1" applyAlignment="1" applyProtection="1">
      <alignment horizontal="center" vertical="center"/>
      <protection locked="0"/>
    </xf>
    <xf numFmtId="169" fontId="6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right" vertical="center" wrapText="1"/>
      <protection locked="0"/>
    </xf>
    <xf numFmtId="16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167" fontId="9" fillId="0" borderId="2" xfId="1" applyFont="1" applyFill="1" applyBorder="1" applyAlignment="1" applyProtection="1">
      <alignment vertical="center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2" fontId="6" fillId="0" borderId="1" xfId="1" applyNumberFormat="1" applyFont="1" applyFill="1" applyBorder="1" applyAlignment="1" applyProtection="1">
      <alignment horizontal="center" vertical="center"/>
      <protection locked="0"/>
    </xf>
    <xf numFmtId="167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169" fontId="14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1" fontId="6" fillId="0" borderId="1" xfId="0" applyNumberFormat="1" applyFont="1" applyFill="1" applyBorder="1" applyAlignment="1" applyProtection="1">
      <alignment horizontal="left" vertical="center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Alignment="1">
      <alignment vertical="center"/>
    </xf>
    <xf numFmtId="1" fontId="9" fillId="0" borderId="1" xfId="2" applyNumberFormat="1" applyFont="1" applyBorder="1" applyAlignment="1" applyProtection="1">
      <alignment horizontal="center" vertical="center"/>
      <protection locked="0"/>
    </xf>
    <xf numFmtId="169" fontId="6" fillId="0" borderId="1" xfId="2" applyNumberFormat="1" applyFont="1" applyFill="1" applyBorder="1" applyAlignment="1" applyProtection="1">
      <alignment horizontal="center" vertical="center"/>
      <protection locked="0"/>
    </xf>
    <xf numFmtId="167" fontId="6" fillId="0" borderId="1" xfId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164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2" applyNumberFormat="1" applyFont="1" applyFill="1" applyBorder="1" applyAlignment="1" applyProtection="1">
      <alignment horizontal="center" vertical="center"/>
      <protection locked="0"/>
    </xf>
    <xf numFmtId="164" fontId="9" fillId="0" borderId="1" xfId="4" applyFont="1" applyFill="1" applyBorder="1" applyAlignment="1" applyProtection="1">
      <alignment vertical="center"/>
      <protection locked="0"/>
    </xf>
    <xf numFmtId="0" fontId="6" fillId="0" borderId="1" xfId="2" applyFont="1" applyBorder="1" applyAlignment="1" applyProtection="1">
      <alignment horizontal="center" vertical="center"/>
      <protection locked="0"/>
    </xf>
    <xf numFmtId="2" fontId="6" fillId="0" borderId="1" xfId="4" applyNumberFormat="1" applyFont="1" applyFill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 applyProtection="1">
      <alignment horizontal="center" vertical="center"/>
      <protection locked="0"/>
    </xf>
    <xf numFmtId="164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2" applyNumberFormat="1" applyFont="1" applyFill="1" applyBorder="1" applyAlignment="1" applyProtection="1">
      <alignment horizontal="center" vertical="center"/>
      <protection locked="0"/>
    </xf>
    <xf numFmtId="1" fontId="6" fillId="0" borderId="1" xfId="2" applyNumberFormat="1" applyFont="1" applyFill="1" applyBorder="1" applyAlignment="1" applyProtection="1">
      <alignment horizontal="justify" vertical="center" wrapText="1"/>
      <protection locked="0"/>
    </xf>
    <xf numFmtId="2" fontId="6" fillId="0" borderId="1" xfId="2" applyNumberFormat="1" applyFont="1" applyFill="1" applyBorder="1" applyAlignment="1" applyProtection="1">
      <alignment horizontal="center" vertical="center"/>
      <protection locked="0"/>
    </xf>
    <xf numFmtId="164" fontId="6" fillId="0" borderId="1" xfId="4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justify" vertical="center" wrapText="1"/>
      <protection locked="0"/>
    </xf>
    <xf numFmtId="0" fontId="17" fillId="0" borderId="1" xfId="2" applyFont="1" applyFill="1" applyBorder="1" applyAlignment="1" applyProtection="1">
      <alignment vertical="center"/>
      <protection locked="0"/>
    </xf>
    <xf numFmtId="1" fontId="18" fillId="0" borderId="1" xfId="2" applyNumberFormat="1" applyFont="1" applyFill="1" applyBorder="1" applyAlignment="1" applyProtection="1">
      <alignment horizontal="center" vertical="center"/>
      <protection locked="0"/>
    </xf>
    <xf numFmtId="0" fontId="15" fillId="0" borderId="1" xfId="2" applyFont="1" applyFill="1" applyBorder="1" applyAlignment="1" applyProtection="1">
      <alignment horizontal="right" vertical="center" wrapText="1"/>
      <protection locked="0"/>
    </xf>
    <xf numFmtId="0" fontId="6" fillId="0" borderId="1" xfId="2" applyFont="1" applyFill="1" applyBorder="1" applyAlignment="1" applyProtection="1">
      <alignment horizontal="center" vertical="center"/>
      <protection locked="0"/>
    </xf>
    <xf numFmtId="2" fontId="19" fillId="0" borderId="1" xfId="4" applyNumberFormat="1" applyFont="1" applyFill="1" applyBorder="1" applyAlignment="1" applyProtection="1">
      <alignment horizontal="center" vertical="center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167" fontId="9" fillId="0" borderId="1" xfId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6" fillId="0" borderId="1" xfId="1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169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165" fontId="19" fillId="0" borderId="1" xfId="1" applyNumberFormat="1" applyFont="1" applyFill="1" applyBorder="1" applyAlignment="1" applyProtection="1">
      <alignment horizontal="center" vertical="center"/>
      <protection locked="0"/>
    </xf>
    <xf numFmtId="167" fontId="9" fillId="0" borderId="1" xfId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2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164" fontId="20" fillId="0" borderId="1" xfId="1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6" fillId="0" borderId="1" xfId="2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164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5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2" fillId="0" borderId="0" xfId="0" applyNumberFormat="1" applyFont="1" applyBorder="1" applyAlignment="1" applyProtection="1">
      <alignment horizontal="center" vertical="center"/>
    </xf>
    <xf numFmtId="0" fontId="26" fillId="5" borderId="7" xfId="0" applyFont="1" applyFill="1" applyBorder="1" applyAlignment="1" applyProtection="1">
      <alignment horizontal="center" vertical="center"/>
    </xf>
    <xf numFmtId="0" fontId="26" fillId="5" borderId="1" xfId="0" applyFont="1" applyFill="1" applyBorder="1" applyAlignment="1" applyProtection="1">
      <alignment horizontal="left" vertical="center"/>
    </xf>
    <xf numFmtId="0" fontId="26" fillId="5" borderId="1" xfId="0" applyFont="1" applyFill="1" applyBorder="1" applyAlignment="1" applyProtection="1">
      <alignment horizontal="center" vertical="center"/>
    </xf>
    <xf numFmtId="0" fontId="26" fillId="5" borderId="8" xfId="0" applyFont="1" applyFill="1" applyBorder="1" applyAlignment="1" applyProtection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/>
    <xf numFmtId="1" fontId="28" fillId="6" borderId="7" xfId="0" applyNumberFormat="1" applyFont="1" applyFill="1" applyBorder="1" applyAlignment="1" applyProtection="1">
      <alignment horizontal="center" vertical="center"/>
    </xf>
    <xf numFmtId="1" fontId="28" fillId="6" borderId="1" xfId="0" applyNumberFormat="1" applyFont="1" applyFill="1" applyBorder="1" applyAlignment="1" applyProtection="1">
      <alignment horizontal="left" vertical="center"/>
    </xf>
    <xf numFmtId="170" fontId="28" fillId="6" borderId="1" xfId="0" applyNumberFormat="1" applyFont="1" applyFill="1" applyBorder="1" applyAlignment="1" applyProtection="1">
      <alignment horizontal="center" vertical="center"/>
    </xf>
    <xf numFmtId="10" fontId="29" fillId="6" borderId="1" xfId="1" applyNumberFormat="1" applyFont="1" applyFill="1" applyBorder="1" applyAlignment="1" applyProtection="1">
      <alignment horizontal="center" vertical="center"/>
    </xf>
    <xf numFmtId="4" fontId="28" fillId="6" borderId="1" xfId="1" applyNumberFormat="1" applyFont="1" applyFill="1" applyBorder="1" applyAlignment="1" applyProtection="1">
      <alignment horizontal="center" vertical="center"/>
    </xf>
    <xf numFmtId="4" fontId="28" fillId="6" borderId="8" xfId="1" applyNumberFormat="1" applyFont="1" applyFill="1" applyBorder="1" applyAlignment="1" applyProtection="1">
      <alignment horizontal="center" vertical="center"/>
    </xf>
    <xf numFmtId="0" fontId="1" fillId="0" borderId="0" xfId="0" applyFont="1"/>
    <xf numFmtId="1" fontId="30" fillId="0" borderId="7" xfId="0" applyNumberFormat="1" applyFont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left" vertical="center"/>
    </xf>
    <xf numFmtId="170" fontId="30" fillId="0" borderId="1" xfId="0" applyNumberFormat="1" applyFont="1" applyBorder="1" applyAlignment="1" applyProtection="1">
      <alignment horizontal="center" vertical="center"/>
    </xf>
    <xf numFmtId="10" fontId="29" fillId="0" borderId="1" xfId="1" applyNumberFormat="1" applyFont="1" applyFill="1" applyBorder="1" applyAlignment="1" applyProtection="1">
      <alignment horizontal="center" vertical="center"/>
    </xf>
    <xf numFmtId="10" fontId="30" fillId="0" borderId="1" xfId="1" applyNumberFormat="1" applyFont="1" applyFill="1" applyBorder="1" applyAlignment="1" applyProtection="1">
      <alignment horizontal="center" vertical="center"/>
      <protection locked="0"/>
    </xf>
    <xf numFmtId="10" fontId="30" fillId="0" borderId="8" xfId="1" applyNumberFormat="1" applyFont="1" applyFill="1" applyBorder="1" applyAlignment="1" applyProtection="1">
      <alignment horizontal="center" vertical="center"/>
    </xf>
    <xf numFmtId="1" fontId="30" fillId="0" borderId="7" xfId="0" applyNumberFormat="1" applyFont="1" applyFill="1" applyBorder="1" applyAlignment="1" applyProtection="1">
      <alignment horizontal="center" vertical="center"/>
    </xf>
    <xf numFmtId="170" fontId="30" fillId="0" borderId="1" xfId="0" applyNumberFormat="1" applyFont="1" applyFill="1" applyBorder="1" applyAlignment="1" applyProtection="1">
      <alignment horizontal="center" vertical="center"/>
    </xf>
    <xf numFmtId="1" fontId="30" fillId="0" borderId="1" xfId="0" applyNumberFormat="1" applyFont="1" applyBorder="1" applyAlignment="1" applyProtection="1">
      <alignment horizontal="left" vertical="center"/>
    </xf>
    <xf numFmtId="0" fontId="28" fillId="5" borderId="9" xfId="0" applyFont="1" applyFill="1" applyBorder="1" applyAlignment="1" applyProtection="1">
      <alignment horizontal="center" vertical="center"/>
    </xf>
    <xf numFmtId="0" fontId="24" fillId="5" borderId="10" xfId="0" applyFont="1" applyFill="1" applyBorder="1" applyAlignment="1" applyProtection="1">
      <alignment horizontal="left" vertical="center"/>
    </xf>
    <xf numFmtId="170" fontId="24" fillId="5" borderId="10" xfId="1" applyNumberFormat="1" applyFont="1" applyFill="1" applyBorder="1" applyAlignment="1" applyProtection="1">
      <alignment horizontal="center" vertical="center"/>
    </xf>
    <xf numFmtId="10" fontId="24" fillId="5" borderId="10" xfId="1" applyNumberFormat="1" applyFont="1" applyFill="1" applyBorder="1" applyAlignment="1" applyProtection="1">
      <alignment horizontal="center" vertical="center"/>
    </xf>
    <xf numFmtId="170" fontId="24" fillId="5" borderId="11" xfId="1" applyNumberFormat="1" applyFont="1" applyFill="1" applyBorder="1" applyAlignment="1" applyProtection="1">
      <alignment horizontal="center" vertical="center"/>
    </xf>
    <xf numFmtId="10" fontId="1" fillId="0" borderId="0" xfId="0" applyNumberFormat="1" applyFont="1" applyAlignment="1">
      <alignment vertical="center"/>
    </xf>
    <xf numFmtId="10" fontId="1" fillId="0" borderId="0" xfId="0" applyNumberFormat="1" applyFont="1"/>
    <xf numFmtId="0" fontId="31" fillId="0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0" fontId="28" fillId="0" borderId="0" xfId="0" applyFont="1" applyFill="1" applyBorder="1" applyAlignment="1">
      <alignment horizontal="center" vertical="center"/>
    </xf>
    <xf numFmtId="0" fontId="24" fillId="0" borderId="0" xfId="0" applyFont="1" applyBorder="1" applyAlignment="1" applyProtection="1">
      <alignment horizontal="left" vertical="center"/>
    </xf>
    <xf numFmtId="170" fontId="24" fillId="0" borderId="0" xfId="0" applyNumberFormat="1" applyFont="1" applyBorder="1" applyAlignment="1" applyProtection="1">
      <alignment horizontal="center" vertical="center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/>
    <xf numFmtId="0" fontId="29" fillId="0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right" vertical="center"/>
    </xf>
    <xf numFmtId="167" fontId="28" fillId="0" borderId="0" xfId="1" applyFont="1" applyFill="1" applyBorder="1" applyAlignment="1" applyProtection="1">
      <alignment vertical="center"/>
    </xf>
    <xf numFmtId="0" fontId="28" fillId="0" borderId="0" xfId="0" applyFont="1" applyFill="1" applyBorder="1" applyAlignment="1">
      <alignment horizontal="left" vertical="center"/>
    </xf>
    <xf numFmtId="164" fontId="28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167" fontId="33" fillId="0" borderId="0" xfId="1" applyFont="1" applyFill="1" applyBorder="1" applyAlignment="1" applyProtection="1">
      <alignment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67" fontId="34" fillId="0" borderId="0" xfId="1" applyFont="1" applyFill="1" applyBorder="1" applyAlignment="1" applyProtection="1">
      <alignment vertical="center"/>
    </xf>
    <xf numFmtId="16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70" fontId="28" fillId="0" borderId="0" xfId="0" applyNumberFormat="1" applyFont="1" applyAlignment="1">
      <alignment vertical="center"/>
    </xf>
    <xf numFmtId="4" fontId="8" fillId="0" borderId="0" xfId="0" applyNumberFormat="1" applyFont="1" applyBorder="1" applyAlignment="1" applyProtection="1">
      <alignment horizontal="center" vertical="center" wrapText="1"/>
      <protection locked="0"/>
    </xf>
    <xf numFmtId="4" fontId="10" fillId="0" borderId="0" xfId="2" applyNumberFormat="1" applyFont="1" applyBorder="1" applyAlignment="1" applyProtection="1">
      <alignment horizontal="center" vertical="center" wrapText="1"/>
      <protection locked="0"/>
    </xf>
    <xf numFmtId="4" fontId="9" fillId="0" borderId="0" xfId="2" applyNumberFormat="1" applyFont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8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9" fillId="2" borderId="1" xfId="1" applyFont="1" applyFill="1" applyBorder="1" applyAlignment="1" applyProtection="1">
      <alignment horizontal="center" vertical="center" wrapText="1"/>
      <protection locked="0"/>
    </xf>
    <xf numFmtId="164" fontId="21" fillId="0" borderId="4" xfId="0" applyNumberFormat="1" applyFont="1" applyBorder="1" applyAlignment="1" applyProtection="1">
      <alignment horizontal="center" vertical="center"/>
    </xf>
    <xf numFmtId="164" fontId="23" fillId="0" borderId="5" xfId="0" applyNumberFormat="1" applyFont="1" applyBorder="1" applyAlignment="1" applyProtection="1">
      <alignment horizontal="center" vertical="center"/>
    </xf>
    <xf numFmtId="0" fontId="24" fillId="4" borderId="6" xfId="0" applyFont="1" applyFill="1" applyBorder="1" applyAlignment="1" applyProtection="1">
      <alignment horizontal="center" vertical="center"/>
    </xf>
    <xf numFmtId="164" fontId="25" fillId="0" borderId="6" xfId="0" applyNumberFormat="1" applyFont="1" applyBorder="1" applyAlignment="1" applyProtection="1">
      <alignment horizontal="center" vertical="center"/>
    </xf>
  </cellXfs>
  <cellStyles count="7">
    <cellStyle name="Excel Built-in Normal" xfId="6"/>
    <cellStyle name="Normal" xfId="0" builtinId="0"/>
    <cellStyle name="Normal 2" xfId="2"/>
    <cellStyle name="Normal_Plan1" xfId="3"/>
    <cellStyle name="Separador de milhares" xfId="1" builtinId="3"/>
    <cellStyle name="Separador de milhares 2" xfId="4"/>
    <cellStyle name="Vírgula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"/>
  <sheetViews>
    <sheetView tabSelected="1" view="pageBreakPreview" zoomScale="90" zoomScaleSheetLayoutView="90" workbookViewId="0">
      <selection activeCell="N37" sqref="N37"/>
    </sheetView>
  </sheetViews>
  <sheetFormatPr defaultColWidth="9" defaultRowHeight="12.75"/>
  <cols>
    <col min="1" max="1" width="6.42578125" style="1" customWidth="1"/>
    <col min="2" max="2" width="10.42578125" style="1" customWidth="1"/>
    <col min="3" max="3" width="87.140625" style="1" customWidth="1"/>
    <col min="4" max="4" width="7.7109375" style="2" customWidth="1"/>
    <col min="5" max="5" width="10.7109375" style="2" customWidth="1"/>
    <col min="6" max="6" width="11.85546875" style="2" customWidth="1"/>
    <col min="7" max="7" width="16" style="2" customWidth="1"/>
    <col min="8" max="16384" width="9" style="1"/>
  </cols>
  <sheetData>
    <row r="1" spans="1:9" ht="30" customHeight="1">
      <c r="A1" s="3"/>
      <c r="B1" s="3"/>
      <c r="C1" s="4"/>
      <c r="D1" s="5"/>
      <c r="E1" s="5"/>
      <c r="F1" s="5"/>
      <c r="G1" s="5"/>
      <c r="H1" s="6"/>
      <c r="I1" s="6"/>
    </row>
    <row r="2" spans="1:9" ht="30" customHeight="1">
      <c r="A2" s="3"/>
      <c r="B2" s="3"/>
      <c r="C2" s="176"/>
      <c r="D2" s="176"/>
      <c r="E2" s="176"/>
      <c r="F2" s="176"/>
      <c r="G2" s="7"/>
      <c r="H2" s="8"/>
      <c r="I2" s="8"/>
    </row>
    <row r="3" spans="1:9" ht="12.75" customHeight="1">
      <c r="A3" s="3"/>
      <c r="B3" s="3"/>
      <c r="C3" s="9"/>
      <c r="D3" s="10"/>
      <c r="E3" s="9"/>
      <c r="F3" s="11"/>
      <c r="G3" s="9"/>
      <c r="H3" s="6"/>
      <c r="I3" s="6"/>
    </row>
    <row r="4" spans="1:9" ht="15.95" customHeight="1">
      <c r="A4" s="177" t="s">
        <v>0</v>
      </c>
      <c r="B4" s="177"/>
      <c r="C4" s="177"/>
      <c r="D4" s="177"/>
      <c r="E4" s="177"/>
      <c r="F4" s="177"/>
      <c r="G4" s="177"/>
      <c r="H4" s="6"/>
      <c r="I4" s="6"/>
    </row>
    <row r="5" spans="1:9" ht="15" customHeight="1">
      <c r="A5" s="178" t="s">
        <v>1</v>
      </c>
      <c r="B5" s="178"/>
      <c r="C5" s="178"/>
      <c r="D5" s="178"/>
      <c r="E5" s="178"/>
      <c r="F5" s="178"/>
      <c r="G5" s="178"/>
      <c r="H5" s="6"/>
      <c r="I5" s="6"/>
    </row>
    <row r="6" spans="1:9" ht="12.75" customHeight="1">
      <c r="A6" s="6" t="s">
        <v>2</v>
      </c>
      <c r="B6" s="12"/>
      <c r="C6" s="13"/>
      <c r="D6" s="13"/>
      <c r="E6" s="13"/>
      <c r="F6" s="14"/>
      <c r="G6" s="14"/>
      <c r="H6" s="6"/>
      <c r="I6" s="6"/>
    </row>
    <row r="7" spans="1:9" ht="12.75" customHeight="1">
      <c r="A7" s="15" t="s">
        <v>3</v>
      </c>
      <c r="B7" s="12"/>
      <c r="C7" s="16" t="s">
        <v>4</v>
      </c>
      <c r="D7" s="13"/>
      <c r="E7" s="13"/>
      <c r="F7" s="14"/>
      <c r="G7" s="17"/>
      <c r="H7" s="6"/>
      <c r="I7" s="6"/>
    </row>
    <row r="8" spans="1:9" ht="12.75" customHeight="1">
      <c r="A8" s="9"/>
      <c r="B8" s="18"/>
      <c r="C8" s="16"/>
      <c r="D8" s="9"/>
      <c r="E8" s="19"/>
      <c r="F8" s="20"/>
      <c r="G8" s="21"/>
      <c r="H8" s="6"/>
      <c r="I8" s="6"/>
    </row>
    <row r="9" spans="1:9" ht="12.75" customHeight="1">
      <c r="A9" s="179" t="s">
        <v>5</v>
      </c>
      <c r="B9" s="179" t="s">
        <v>6</v>
      </c>
      <c r="C9" s="179" t="s">
        <v>7</v>
      </c>
      <c r="D9" s="179" t="s">
        <v>8</v>
      </c>
      <c r="E9" s="180" t="s">
        <v>9</v>
      </c>
      <c r="F9" s="181" t="s">
        <v>10</v>
      </c>
      <c r="G9" s="181"/>
      <c r="H9" s="6"/>
      <c r="I9" s="6"/>
    </row>
    <row r="10" spans="1:9" ht="12.75" customHeight="1">
      <c r="A10" s="179"/>
      <c r="B10" s="179"/>
      <c r="C10" s="179"/>
      <c r="D10" s="179"/>
      <c r="E10" s="180"/>
      <c r="F10" s="23" t="s">
        <v>11</v>
      </c>
      <c r="G10" s="22" t="s">
        <v>12</v>
      </c>
      <c r="H10" s="6"/>
      <c r="I10" s="6"/>
    </row>
    <row r="11" spans="1:9" ht="12.75" customHeight="1">
      <c r="A11" s="24"/>
      <c r="B11" s="24"/>
      <c r="C11" s="25"/>
      <c r="D11" s="26"/>
      <c r="E11" s="27"/>
      <c r="F11" s="28"/>
      <c r="G11" s="29"/>
      <c r="H11" s="6"/>
      <c r="I11" s="6"/>
    </row>
    <row r="12" spans="1:9" ht="12.75" customHeight="1">
      <c r="A12" s="24">
        <v>1</v>
      </c>
      <c r="B12" s="24"/>
      <c r="C12" s="25" t="s">
        <v>13</v>
      </c>
      <c r="D12" s="26"/>
      <c r="E12" s="30"/>
      <c r="F12" s="28"/>
      <c r="G12" s="29"/>
      <c r="H12" s="6"/>
      <c r="I12" s="6"/>
    </row>
    <row r="13" spans="1:9" ht="12.75" customHeight="1">
      <c r="A13" s="31"/>
      <c r="B13" s="31">
        <v>40400</v>
      </c>
      <c r="C13" s="32" t="s">
        <v>14</v>
      </c>
      <c r="D13" s="33" t="s">
        <v>15</v>
      </c>
      <c r="E13" s="34">
        <v>451</v>
      </c>
      <c r="F13" s="35">
        <v>8.81</v>
      </c>
      <c r="G13" s="29">
        <f>E13*F13</f>
        <v>3973.3100000000004</v>
      </c>
      <c r="H13" s="6"/>
      <c r="I13" s="36">
        <f>(4.3*4.3*2.3)+(16.14*(1.5+0.6+0.6))+(4.3*4.3*2.8)+(3.6*(1.5+0.6+0.6))+(69.9*(2.5+0.6+0.6))+(8.8*(3.9+0.6+0.6))</f>
        <v>451.10700000000003</v>
      </c>
    </row>
    <row r="14" spans="1:9" ht="12.75" customHeight="1">
      <c r="A14" s="37"/>
      <c r="B14" s="38">
        <v>40900</v>
      </c>
      <c r="C14" s="39" t="s">
        <v>16</v>
      </c>
      <c r="D14" s="40" t="s">
        <v>15</v>
      </c>
      <c r="E14" s="41">
        <f>180.5*1.3</f>
        <v>234.65</v>
      </c>
      <c r="F14" s="42">
        <v>10.27</v>
      </c>
      <c r="G14" s="43">
        <f>E14*F14</f>
        <v>2409.8555000000001</v>
      </c>
      <c r="H14" s="6"/>
      <c r="I14" s="36">
        <f>I13-I15</f>
        <v>180.55200000000002</v>
      </c>
    </row>
    <row r="15" spans="1:9" ht="12.75" customHeight="1">
      <c r="A15" s="31"/>
      <c r="B15" s="31">
        <v>41500</v>
      </c>
      <c r="C15" s="32" t="s">
        <v>17</v>
      </c>
      <c r="D15" s="33" t="s">
        <v>15</v>
      </c>
      <c r="E15" s="34">
        <f>270.5*1.3</f>
        <v>351.65000000000003</v>
      </c>
      <c r="F15" s="35">
        <v>8.91</v>
      </c>
      <c r="G15" s="29">
        <f>E15*F15</f>
        <v>3133.2015000000006</v>
      </c>
      <c r="H15" s="6"/>
      <c r="I15" s="36">
        <f>(2.5*2.5*2.3)+(16.14*(1.5))+(2.5*2.5*2.8)+(3.6*(1.5))+(69.9*(2.5))+(8.8*(3.9))</f>
        <v>270.55500000000001</v>
      </c>
    </row>
    <row r="16" spans="1:9" ht="12.75" customHeight="1">
      <c r="A16" s="31"/>
      <c r="B16" s="31">
        <v>46000</v>
      </c>
      <c r="C16" s="32" t="s">
        <v>18</v>
      </c>
      <c r="D16" s="33" t="s">
        <v>19</v>
      </c>
      <c r="E16" s="34">
        <f>E15*15</f>
        <v>5274.7500000000009</v>
      </c>
      <c r="F16" s="35">
        <v>1.56</v>
      </c>
      <c r="G16" s="29">
        <f>E16*F16</f>
        <v>8228.6100000000024</v>
      </c>
      <c r="H16" s="6"/>
      <c r="I16" s="6"/>
    </row>
    <row r="17" spans="1:9" ht="12.75" customHeight="1">
      <c r="A17" s="31"/>
      <c r="B17" s="31"/>
      <c r="C17" s="44" t="s">
        <v>20</v>
      </c>
      <c r="D17" s="33"/>
      <c r="E17" s="34"/>
      <c r="F17" s="35"/>
      <c r="G17" s="45">
        <f>SUM(G13:G16)</f>
        <v>17744.977000000006</v>
      </c>
      <c r="H17" s="6"/>
      <c r="I17" s="6"/>
    </row>
    <row r="18" spans="1:9" s="52" customFormat="1" ht="12.75" customHeight="1">
      <c r="A18" s="46">
        <v>2</v>
      </c>
      <c r="B18" s="46"/>
      <c r="C18" s="47" t="s">
        <v>21</v>
      </c>
      <c r="D18" s="48"/>
      <c r="E18" s="49"/>
      <c r="F18" s="28"/>
      <c r="G18" s="50"/>
      <c r="H18" s="51"/>
      <c r="I18" s="51"/>
    </row>
    <row r="19" spans="1:9" s="56" customFormat="1" ht="12.75" hidden="1" customHeight="1">
      <c r="A19" s="53"/>
      <c r="B19" s="53">
        <v>52000</v>
      </c>
      <c r="C19" s="39" t="s">
        <v>22</v>
      </c>
      <c r="D19" s="54" t="s">
        <v>15</v>
      </c>
      <c r="E19" s="49"/>
      <c r="F19" s="42"/>
      <c r="G19" s="50">
        <f t="shared" ref="G19:G35" si="0">E19*F19</f>
        <v>0</v>
      </c>
      <c r="H19" s="55"/>
      <c r="I19" s="55"/>
    </row>
    <row r="20" spans="1:9" s="52" customFormat="1" ht="12.75" hidden="1" customHeight="1">
      <c r="A20" s="53"/>
      <c r="B20" s="53">
        <v>60200</v>
      </c>
      <c r="C20" s="57" t="s">
        <v>23</v>
      </c>
      <c r="D20" s="58" t="s">
        <v>24</v>
      </c>
      <c r="E20" s="59"/>
      <c r="F20" s="42"/>
      <c r="G20" s="50">
        <f t="shared" si="0"/>
        <v>0</v>
      </c>
      <c r="H20" s="51"/>
      <c r="I20" s="51"/>
    </row>
    <row r="21" spans="1:9" s="56" customFormat="1" ht="12.75" customHeight="1">
      <c r="A21" s="53"/>
      <c r="B21" s="53">
        <v>60300</v>
      </c>
      <c r="C21" s="39" t="s">
        <v>25</v>
      </c>
      <c r="D21" s="54" t="s">
        <v>26</v>
      </c>
      <c r="E21" s="49">
        <v>328</v>
      </c>
      <c r="F21" s="42">
        <v>43.67</v>
      </c>
      <c r="G21" s="50">
        <f t="shared" si="0"/>
        <v>14323.76</v>
      </c>
      <c r="H21" s="55"/>
      <c r="I21" s="55"/>
    </row>
    <row r="22" spans="1:9" s="56" customFormat="1" ht="12.75" hidden="1" customHeight="1">
      <c r="A22" s="53"/>
      <c r="B22" s="53">
        <v>60400</v>
      </c>
      <c r="C22" s="39" t="s">
        <v>27</v>
      </c>
      <c r="D22" s="54" t="s">
        <v>26</v>
      </c>
      <c r="E22" s="49"/>
      <c r="F22" s="42"/>
      <c r="G22" s="50">
        <f t="shared" si="0"/>
        <v>0</v>
      </c>
      <c r="H22" s="55"/>
      <c r="I22" s="55">
        <f>(4.3*2.2*4)+(4.3*2.8*4)+(16.14*2.1*2)+(3.3*2.6*2)+(69.9*2)+(8.8*2)</f>
        <v>328.34800000000007</v>
      </c>
    </row>
    <row r="23" spans="1:9" s="56" customFormat="1" ht="12.75" customHeight="1">
      <c r="A23" s="53"/>
      <c r="B23" s="53">
        <v>60500</v>
      </c>
      <c r="C23" s="39" t="s">
        <v>28</v>
      </c>
      <c r="D23" s="54" t="s">
        <v>15</v>
      </c>
      <c r="E23" s="49">
        <v>9</v>
      </c>
      <c r="F23" s="42">
        <v>134.57</v>
      </c>
      <c r="G23" s="50">
        <f t="shared" si="0"/>
        <v>1211.1299999999999</v>
      </c>
      <c r="H23" s="55"/>
      <c r="I23" s="55">
        <f>(2.9*2.9*0.05*2)+(16.1*1.5*0.1)+(3.6*1.5*0.1)+(108.19*0.05)</f>
        <v>9.2055000000000007</v>
      </c>
    </row>
    <row r="24" spans="1:9" s="56" customFormat="1" ht="12.75" customHeight="1">
      <c r="A24" s="53"/>
      <c r="B24" s="53">
        <v>61701</v>
      </c>
      <c r="C24" s="39" t="s">
        <v>29</v>
      </c>
      <c r="D24" s="58" t="s">
        <v>24</v>
      </c>
      <c r="E24" s="49">
        <v>20</v>
      </c>
      <c r="F24" s="42">
        <v>625.72</v>
      </c>
      <c r="G24" s="50">
        <f t="shared" si="0"/>
        <v>12514.400000000001</v>
      </c>
      <c r="H24" s="55"/>
      <c r="I24" s="55">
        <f>16.15+3.6</f>
        <v>19.75</v>
      </c>
    </row>
    <row r="25" spans="1:9" s="56" customFormat="1" ht="12.75" customHeight="1">
      <c r="A25" s="53"/>
      <c r="B25" s="53">
        <v>61803</v>
      </c>
      <c r="C25" s="39" t="s">
        <v>30</v>
      </c>
      <c r="D25" s="58" t="s">
        <v>31</v>
      </c>
      <c r="E25" s="49">
        <v>2</v>
      </c>
      <c r="F25" s="42">
        <v>6767.61</v>
      </c>
      <c r="G25" s="50">
        <f t="shared" si="0"/>
        <v>13535.22</v>
      </c>
      <c r="H25" s="55"/>
      <c r="I25" s="6"/>
    </row>
    <row r="26" spans="1:9" s="56" customFormat="1" ht="12.75" hidden="1" customHeight="1">
      <c r="A26" s="53"/>
      <c r="B26" s="53">
        <v>61900</v>
      </c>
      <c r="C26" s="39" t="s">
        <v>32</v>
      </c>
      <c r="D26" s="54" t="s">
        <v>24</v>
      </c>
      <c r="E26" s="49"/>
      <c r="F26" s="42"/>
      <c r="G26" s="50">
        <f t="shared" si="0"/>
        <v>0</v>
      </c>
      <c r="H26" s="55"/>
      <c r="I26" s="55"/>
    </row>
    <row r="27" spans="1:9" s="56" customFormat="1" ht="12.75" hidden="1" customHeight="1">
      <c r="A27" s="53"/>
      <c r="B27" s="53">
        <v>62003</v>
      </c>
      <c r="C27" s="39" t="s">
        <v>33</v>
      </c>
      <c r="D27" s="54" t="s">
        <v>31</v>
      </c>
      <c r="E27" s="49"/>
      <c r="F27" s="42"/>
      <c r="G27" s="50">
        <f t="shared" si="0"/>
        <v>0</v>
      </c>
      <c r="H27" s="55"/>
      <c r="I27" s="55"/>
    </row>
    <row r="28" spans="1:9" s="56" customFormat="1" ht="25.7" hidden="1" customHeight="1">
      <c r="A28" s="53"/>
      <c r="B28" s="53">
        <v>62022</v>
      </c>
      <c r="C28" s="39" t="s">
        <v>34</v>
      </c>
      <c r="D28" s="54" t="s">
        <v>31</v>
      </c>
      <c r="E28" s="49"/>
      <c r="F28" s="42"/>
      <c r="G28" s="50">
        <f t="shared" si="0"/>
        <v>0</v>
      </c>
      <c r="H28" s="55"/>
      <c r="I28" s="55"/>
    </row>
    <row r="29" spans="1:9" s="56" customFormat="1" ht="12.75" hidden="1" customHeight="1">
      <c r="A29" s="53"/>
      <c r="B29" s="53">
        <v>62204</v>
      </c>
      <c r="C29" s="39" t="s">
        <v>35</v>
      </c>
      <c r="D29" s="54" t="s">
        <v>31</v>
      </c>
      <c r="E29" s="49"/>
      <c r="F29" s="42"/>
      <c r="G29" s="50">
        <f t="shared" si="0"/>
        <v>0</v>
      </c>
      <c r="H29" s="55"/>
      <c r="I29" s="55"/>
    </row>
    <row r="30" spans="1:9" s="61" customFormat="1" ht="12.75" hidden="1" customHeight="1">
      <c r="A30" s="53"/>
      <c r="B30" s="53">
        <v>62205</v>
      </c>
      <c r="C30" s="39" t="s">
        <v>36</v>
      </c>
      <c r="D30" s="54" t="s">
        <v>31</v>
      </c>
      <c r="E30" s="49"/>
      <c r="F30" s="42"/>
      <c r="G30" s="50">
        <f t="shared" si="0"/>
        <v>0</v>
      </c>
      <c r="H30" s="60"/>
      <c r="I30" s="60"/>
    </row>
    <row r="31" spans="1:9" s="56" customFormat="1" ht="12.75" customHeight="1">
      <c r="A31" s="53"/>
      <c r="B31" s="53">
        <v>81401</v>
      </c>
      <c r="C31" s="39" t="s">
        <v>37</v>
      </c>
      <c r="D31" s="54" t="s">
        <v>38</v>
      </c>
      <c r="E31" s="49">
        <v>436</v>
      </c>
      <c r="F31" s="42">
        <v>66.64</v>
      </c>
      <c r="G31" s="50">
        <f t="shared" si="0"/>
        <v>29055.040000000001</v>
      </c>
      <c r="H31" s="55"/>
      <c r="I31" s="55">
        <f>(92.25*4)+(1*2.1*8)+(4.11*2)+(1.1*2.1*8)+8.4+14.7</f>
        <v>435.6</v>
      </c>
    </row>
    <row r="32" spans="1:9" s="56" customFormat="1" ht="12.75" customHeight="1">
      <c r="A32" s="53"/>
      <c r="B32" s="53">
        <v>70900</v>
      </c>
      <c r="C32" s="39" t="s">
        <v>39</v>
      </c>
      <c r="D32" s="54" t="s">
        <v>40</v>
      </c>
      <c r="E32" s="49">
        <f>I32</f>
        <v>6512.4000000000015</v>
      </c>
      <c r="F32" s="42">
        <v>9.9700000000000006</v>
      </c>
      <c r="G32" s="50">
        <f t="shared" si="0"/>
        <v>64928.628000000019</v>
      </c>
      <c r="H32" s="55"/>
      <c r="I32" s="55">
        <f>I33*80</f>
        <v>6512.4000000000015</v>
      </c>
    </row>
    <row r="33" spans="1:9" s="56" customFormat="1" ht="12.75" customHeight="1">
      <c r="A33" s="53"/>
      <c r="B33" s="53">
        <v>71700</v>
      </c>
      <c r="C33" s="39" t="s">
        <v>41</v>
      </c>
      <c r="D33" s="54" t="s">
        <v>15</v>
      </c>
      <c r="E33" s="49">
        <f>I33</f>
        <v>81.405000000000015</v>
      </c>
      <c r="F33" s="42">
        <v>327.64</v>
      </c>
      <c r="G33" s="50">
        <f t="shared" si="0"/>
        <v>26671.534200000006</v>
      </c>
      <c r="H33" s="55"/>
      <c r="I33" s="55">
        <f>((2.9*2.9*0.2*2)+(2.7*1.5*0.2*4))+((2.9*2.9*0.2*2)+(2.7*2.1*0.2*4))+((7.87*2.5)+(29.76*0.2)+(5.25*0.2)+(82.18*0.2*2)+(10*0.2)+(17.52*0.2)+(2.1*1.1*0.2*4))</f>
        <v>81.405000000000015</v>
      </c>
    </row>
    <row r="34" spans="1:9" ht="12.75" hidden="1" customHeight="1">
      <c r="A34" s="62"/>
      <c r="B34" s="63">
        <v>101601</v>
      </c>
      <c r="C34" s="39" t="s">
        <v>42</v>
      </c>
      <c r="D34" s="58" t="s">
        <v>38</v>
      </c>
      <c r="E34" s="49"/>
      <c r="F34" s="42"/>
      <c r="G34" s="64">
        <f t="shared" si="0"/>
        <v>0</v>
      </c>
      <c r="H34" s="6"/>
      <c r="I34" s="6"/>
    </row>
    <row r="35" spans="1:9" ht="12.75" hidden="1" customHeight="1">
      <c r="A35" s="62"/>
      <c r="B35" s="63">
        <v>101602</v>
      </c>
      <c r="C35" s="39" t="s">
        <v>43</v>
      </c>
      <c r="D35" s="58" t="s">
        <v>24</v>
      </c>
      <c r="E35" s="49"/>
      <c r="F35" s="42"/>
      <c r="G35" s="64">
        <f t="shared" si="0"/>
        <v>0</v>
      </c>
      <c r="H35" s="6"/>
      <c r="I35" s="6"/>
    </row>
    <row r="36" spans="1:9" ht="12.75" customHeight="1">
      <c r="A36" s="65"/>
      <c r="B36" s="65"/>
      <c r="C36" s="66"/>
      <c r="D36" s="48"/>
      <c r="E36" s="49"/>
      <c r="F36" s="42"/>
      <c r="G36" s="67">
        <f>SUM(G19:G35)</f>
        <v>162239.71220000001</v>
      </c>
      <c r="H36" s="6"/>
      <c r="I36" s="6"/>
    </row>
    <row r="37" spans="1:9" ht="12.75" customHeight="1">
      <c r="A37" s="62">
        <v>3</v>
      </c>
      <c r="B37" s="68"/>
      <c r="C37" s="69" t="s">
        <v>44</v>
      </c>
      <c r="D37" s="70"/>
      <c r="E37" s="71"/>
      <c r="F37" s="72"/>
      <c r="G37" s="73"/>
      <c r="H37" s="6"/>
      <c r="I37" s="6"/>
    </row>
    <row r="38" spans="1:9" ht="12.75" hidden="1" customHeight="1">
      <c r="A38" s="74"/>
      <c r="B38" s="63">
        <v>50100</v>
      </c>
      <c r="C38" s="75" t="s">
        <v>45</v>
      </c>
      <c r="D38" s="68" t="s">
        <v>24</v>
      </c>
      <c r="E38" s="76"/>
      <c r="F38" s="77"/>
      <c r="G38" s="73">
        <f t="shared" ref="G38:G56" si="1">E38*F38</f>
        <v>0</v>
      </c>
      <c r="H38" s="6"/>
      <c r="I38" s="6"/>
    </row>
    <row r="39" spans="1:9" ht="12.75" customHeight="1">
      <c r="A39" s="74"/>
      <c r="B39" s="63">
        <v>50300</v>
      </c>
      <c r="C39" s="75" t="s">
        <v>46</v>
      </c>
      <c r="D39" s="68" t="s">
        <v>38</v>
      </c>
      <c r="E39" s="76">
        <v>38</v>
      </c>
      <c r="F39" s="77">
        <v>17.68</v>
      </c>
      <c r="G39" s="73">
        <f t="shared" si="1"/>
        <v>671.84</v>
      </c>
      <c r="H39" s="6"/>
      <c r="I39" s="36">
        <f>38</f>
        <v>38</v>
      </c>
    </row>
    <row r="40" spans="1:9" ht="12.75" customHeight="1">
      <c r="A40" s="74"/>
      <c r="B40" s="63">
        <v>50400</v>
      </c>
      <c r="C40" s="75" t="s">
        <v>47</v>
      </c>
      <c r="D40" s="68" t="s">
        <v>38</v>
      </c>
      <c r="E40" s="76">
        <v>36</v>
      </c>
      <c r="F40" s="77">
        <v>15.03</v>
      </c>
      <c r="G40" s="73">
        <f t="shared" si="1"/>
        <v>541.07999999999993</v>
      </c>
      <c r="H40" s="6"/>
      <c r="I40" s="6"/>
    </row>
    <row r="41" spans="1:9" ht="12.75" hidden="1" customHeight="1">
      <c r="A41" s="74"/>
      <c r="B41" s="63">
        <v>51300</v>
      </c>
      <c r="C41" s="75" t="s">
        <v>48</v>
      </c>
      <c r="D41" s="68" t="s">
        <v>15</v>
      </c>
      <c r="E41" s="76"/>
      <c r="F41" s="77"/>
      <c r="G41" s="73">
        <f t="shared" si="1"/>
        <v>0</v>
      </c>
      <c r="H41" s="6"/>
      <c r="I41" s="6"/>
    </row>
    <row r="42" spans="1:9">
      <c r="A42" s="74"/>
      <c r="B42" s="63">
        <v>51402</v>
      </c>
      <c r="C42" s="75" t="s">
        <v>49</v>
      </c>
      <c r="D42" s="68" t="s">
        <v>24</v>
      </c>
      <c r="E42" s="76">
        <v>3</v>
      </c>
      <c r="F42" s="77">
        <v>34.07</v>
      </c>
      <c r="G42" s="73">
        <f t="shared" si="1"/>
        <v>102.21000000000001</v>
      </c>
      <c r="H42" s="6"/>
      <c r="I42" s="36">
        <f>1.85+0.6+0.6</f>
        <v>3.0500000000000003</v>
      </c>
    </row>
    <row r="43" spans="1:9" ht="12.75" customHeight="1">
      <c r="A43" s="74"/>
      <c r="B43" s="63">
        <v>51902</v>
      </c>
      <c r="C43" s="75" t="s">
        <v>50</v>
      </c>
      <c r="D43" s="68" t="s">
        <v>15</v>
      </c>
      <c r="E43" s="76">
        <v>0.06</v>
      </c>
      <c r="F43" s="77">
        <v>358.27</v>
      </c>
      <c r="G43" s="73">
        <f t="shared" si="1"/>
        <v>21.496199999999998</v>
      </c>
      <c r="H43" s="6"/>
      <c r="I43" s="36">
        <f>3*0.3*0.07</f>
        <v>6.3000000000000014E-2</v>
      </c>
    </row>
    <row r="44" spans="1:9" ht="12.75" customHeight="1">
      <c r="A44" s="74"/>
      <c r="B44" s="63">
        <v>52502</v>
      </c>
      <c r="C44" s="75" t="s">
        <v>51</v>
      </c>
      <c r="D44" s="68" t="s">
        <v>15</v>
      </c>
      <c r="E44" s="76">
        <v>1.8</v>
      </c>
      <c r="F44" s="77">
        <v>785.61</v>
      </c>
      <c r="G44" s="73">
        <f t="shared" si="1"/>
        <v>1414.098</v>
      </c>
      <c r="H44" s="6"/>
      <c r="I44" s="36">
        <f>36*0.05</f>
        <v>1.8</v>
      </c>
    </row>
    <row r="45" spans="1:9" ht="12.75" customHeight="1">
      <c r="A45" s="74"/>
      <c r="B45" s="63">
        <v>52600</v>
      </c>
      <c r="C45" s="75" t="s">
        <v>52</v>
      </c>
      <c r="D45" s="68" t="s">
        <v>38</v>
      </c>
      <c r="E45" s="76">
        <v>36</v>
      </c>
      <c r="F45" s="77">
        <v>4.6500000000000004</v>
      </c>
      <c r="G45" s="73">
        <f t="shared" si="1"/>
        <v>167.4</v>
      </c>
      <c r="H45" s="6"/>
      <c r="I45" s="6"/>
    </row>
    <row r="46" spans="1:9" ht="12.75" customHeight="1">
      <c r="A46" s="74"/>
      <c r="B46" s="63">
        <v>52700</v>
      </c>
      <c r="C46" s="75" t="s">
        <v>53</v>
      </c>
      <c r="D46" s="68" t="s">
        <v>38</v>
      </c>
      <c r="E46" s="76">
        <v>36</v>
      </c>
      <c r="F46" s="77">
        <v>10.86</v>
      </c>
      <c r="G46" s="73">
        <f t="shared" si="1"/>
        <v>390.96</v>
      </c>
      <c r="H46" s="6"/>
      <c r="I46" s="6"/>
    </row>
    <row r="47" spans="1:9" ht="12.75" customHeight="1">
      <c r="A47" s="74"/>
      <c r="B47" s="63">
        <v>52800</v>
      </c>
      <c r="C47" s="75" t="s">
        <v>54</v>
      </c>
      <c r="D47" s="68" t="s">
        <v>15</v>
      </c>
      <c r="E47" s="76">
        <v>1.8</v>
      </c>
      <c r="F47" s="77">
        <v>940.49</v>
      </c>
      <c r="G47" s="73">
        <f t="shared" si="1"/>
        <v>1692.8820000000001</v>
      </c>
      <c r="H47" s="6"/>
      <c r="I47" s="36">
        <f>36*0.05</f>
        <v>1.8</v>
      </c>
    </row>
    <row r="48" spans="1:9" ht="12.75" customHeight="1">
      <c r="A48" s="74"/>
      <c r="B48" s="63">
        <v>54200</v>
      </c>
      <c r="C48" s="78" t="s">
        <v>55</v>
      </c>
      <c r="D48" s="68" t="s">
        <v>15</v>
      </c>
      <c r="E48" s="76">
        <v>2.7</v>
      </c>
      <c r="F48" s="77">
        <v>459.64</v>
      </c>
      <c r="G48" s="73">
        <f t="shared" si="1"/>
        <v>1241.028</v>
      </c>
      <c r="H48" s="6"/>
      <c r="I48" s="36">
        <f>38*0.07</f>
        <v>2.66</v>
      </c>
    </row>
    <row r="49" spans="1:9" ht="12.75" customHeight="1">
      <c r="A49" s="74"/>
      <c r="B49" s="63">
        <v>54800</v>
      </c>
      <c r="C49" s="75" t="s">
        <v>56</v>
      </c>
      <c r="D49" s="68" t="s">
        <v>15</v>
      </c>
      <c r="E49" s="76">
        <f>36*0.1</f>
        <v>3.6</v>
      </c>
      <c r="F49" s="77">
        <v>127.28</v>
      </c>
      <c r="G49" s="73">
        <f t="shared" si="1"/>
        <v>458.20800000000003</v>
      </c>
      <c r="H49" s="6"/>
      <c r="I49" s="6"/>
    </row>
    <row r="50" spans="1:9" ht="12.75" customHeight="1">
      <c r="A50" s="74"/>
      <c r="B50" s="63">
        <v>57801</v>
      </c>
      <c r="C50" s="75" t="s">
        <v>57</v>
      </c>
      <c r="D50" s="68" t="s">
        <v>15</v>
      </c>
      <c r="E50" s="76">
        <v>1.8</v>
      </c>
      <c r="F50" s="77">
        <v>10.88</v>
      </c>
      <c r="G50" s="73">
        <f t="shared" si="1"/>
        <v>19.584000000000003</v>
      </c>
      <c r="H50" s="6"/>
      <c r="I50" s="6"/>
    </row>
    <row r="51" spans="1:9" ht="12.75" customHeight="1">
      <c r="A51" s="74"/>
      <c r="B51" s="63">
        <v>57807</v>
      </c>
      <c r="C51" s="75" t="s">
        <v>58</v>
      </c>
      <c r="D51" s="68" t="s">
        <v>19</v>
      </c>
      <c r="E51" s="76">
        <v>540</v>
      </c>
      <c r="F51" s="77">
        <v>1.92</v>
      </c>
      <c r="G51" s="73">
        <f t="shared" si="1"/>
        <v>1036.8</v>
      </c>
      <c r="H51" s="6"/>
      <c r="I51" s="6"/>
    </row>
    <row r="52" spans="1:9" ht="12.75" customHeight="1">
      <c r="A52" s="74"/>
      <c r="B52" s="63">
        <v>57901</v>
      </c>
      <c r="C52" s="75" t="s">
        <v>59</v>
      </c>
      <c r="D52" s="68" t="s">
        <v>15</v>
      </c>
      <c r="E52" s="76">
        <v>1.8</v>
      </c>
      <c r="F52" s="77">
        <v>10.88</v>
      </c>
      <c r="G52" s="73">
        <f t="shared" si="1"/>
        <v>19.584000000000003</v>
      </c>
      <c r="H52" s="6"/>
      <c r="I52" s="6"/>
    </row>
    <row r="53" spans="1:9" ht="12.75" customHeight="1">
      <c r="A53" s="74"/>
      <c r="B53" s="63">
        <v>57907</v>
      </c>
      <c r="C53" s="75" t="s">
        <v>60</v>
      </c>
      <c r="D53" s="68" t="s">
        <v>19</v>
      </c>
      <c r="E53" s="76">
        <v>540</v>
      </c>
      <c r="F53" s="77">
        <v>1.92</v>
      </c>
      <c r="G53" s="73">
        <f t="shared" si="1"/>
        <v>1036.8</v>
      </c>
      <c r="H53" s="6"/>
      <c r="I53" s="6"/>
    </row>
    <row r="54" spans="1:9" ht="12.75" hidden="1" customHeight="1">
      <c r="A54" s="74"/>
      <c r="B54" s="63">
        <v>58100</v>
      </c>
      <c r="C54" s="75" t="s">
        <v>61</v>
      </c>
      <c r="D54" s="68" t="s">
        <v>62</v>
      </c>
      <c r="E54" s="76"/>
      <c r="F54" s="77"/>
      <c r="G54" s="73">
        <f t="shared" si="1"/>
        <v>0</v>
      </c>
      <c r="H54" s="6"/>
      <c r="I54" s="6"/>
    </row>
    <row r="55" spans="1:9" ht="12.75" hidden="1" customHeight="1">
      <c r="A55" s="74"/>
      <c r="B55" s="63">
        <v>58200</v>
      </c>
      <c r="C55" s="75" t="s">
        <v>63</v>
      </c>
      <c r="D55" s="68" t="s">
        <v>64</v>
      </c>
      <c r="E55" s="76"/>
      <c r="F55" s="77"/>
      <c r="G55" s="73">
        <f t="shared" si="1"/>
        <v>0</v>
      </c>
      <c r="H55" s="6"/>
      <c r="I55" s="6"/>
    </row>
    <row r="56" spans="1:9" ht="12.75" customHeight="1">
      <c r="A56" s="74"/>
      <c r="B56" s="63">
        <v>140201</v>
      </c>
      <c r="C56" s="75" t="s">
        <v>65</v>
      </c>
      <c r="D56" s="68" t="s">
        <v>15</v>
      </c>
      <c r="E56" s="76">
        <v>5.4</v>
      </c>
      <c r="F56" s="77">
        <v>96.62</v>
      </c>
      <c r="G56" s="73">
        <f t="shared" si="1"/>
        <v>521.74800000000005</v>
      </c>
      <c r="H56" s="6"/>
      <c r="I56" s="36">
        <f>36*0.15</f>
        <v>5.3999999999999995</v>
      </c>
    </row>
    <row r="57" spans="1:9" ht="12.75" customHeight="1">
      <c r="A57" s="79"/>
      <c r="B57" s="80"/>
      <c r="C57" s="81" t="s">
        <v>20</v>
      </c>
      <c r="D57" s="82"/>
      <c r="E57" s="83"/>
      <c r="F57" s="77"/>
      <c r="G57" s="84">
        <f>SUM(G38:G56)</f>
        <v>9335.7181999999993</v>
      </c>
      <c r="H57" s="6"/>
      <c r="I57" s="6"/>
    </row>
    <row r="58" spans="1:9" ht="12.75" hidden="1" customHeight="1">
      <c r="A58" s="85">
        <v>4</v>
      </c>
      <c r="B58" s="86"/>
      <c r="C58" s="87" t="s">
        <v>66</v>
      </c>
      <c r="D58" s="88"/>
      <c r="E58" s="89"/>
      <c r="F58" s="90"/>
      <c r="G58" s="64"/>
      <c r="H58" s="6"/>
      <c r="I58" s="6"/>
    </row>
    <row r="59" spans="1:9" ht="12.75" hidden="1" customHeight="1">
      <c r="A59" s="91"/>
      <c r="B59" s="92">
        <v>73500</v>
      </c>
      <c r="C59" s="93" t="s">
        <v>67</v>
      </c>
      <c r="D59" s="94" t="s">
        <v>68</v>
      </c>
      <c r="E59" s="95"/>
      <c r="F59" s="50"/>
      <c r="G59" s="64">
        <f>E59*F59</f>
        <v>0</v>
      </c>
      <c r="H59" s="6"/>
      <c r="I59" s="6"/>
    </row>
    <row r="60" spans="1:9" ht="12.75" hidden="1" customHeight="1">
      <c r="A60" s="91"/>
      <c r="B60" s="96"/>
      <c r="C60" s="66" t="s">
        <v>20</v>
      </c>
      <c r="D60" s="88"/>
      <c r="E60" s="97"/>
      <c r="F60" s="50"/>
      <c r="G60" s="98">
        <f>SUM(G59:G59)</f>
        <v>0</v>
      </c>
      <c r="H60" s="6"/>
      <c r="I60" s="6"/>
    </row>
    <row r="61" spans="1:9" ht="12.75" customHeight="1">
      <c r="A61" s="85"/>
      <c r="B61" s="99"/>
      <c r="C61" s="100" t="s">
        <v>69</v>
      </c>
      <c r="D61" s="101"/>
      <c r="E61" s="97"/>
      <c r="F61" s="102"/>
      <c r="G61" s="67">
        <f>+G17+G36+G57+G60</f>
        <v>189320.40740000003</v>
      </c>
      <c r="H61" s="6"/>
      <c r="I61" s="6"/>
    </row>
    <row r="62" spans="1:9" ht="12.75" hidden="1" customHeight="1">
      <c r="A62" s="85">
        <v>5</v>
      </c>
      <c r="B62" s="99"/>
      <c r="C62" s="87" t="s">
        <v>70</v>
      </c>
      <c r="D62" s="88"/>
      <c r="E62" s="89"/>
      <c r="F62" s="90"/>
      <c r="G62" s="43"/>
      <c r="H62" s="6"/>
      <c r="I62" s="6"/>
    </row>
    <row r="63" spans="1:9" ht="12.75" hidden="1" customHeight="1">
      <c r="A63" s="85"/>
      <c r="B63" s="88"/>
      <c r="C63" s="103" t="s">
        <v>71</v>
      </c>
      <c r="D63" s="94" t="s">
        <v>72</v>
      </c>
      <c r="E63" s="95"/>
      <c r="F63" s="42">
        <f>G61*4%</f>
        <v>7572.8162960000009</v>
      </c>
      <c r="G63" s="43">
        <f>E63*F63</f>
        <v>0</v>
      </c>
      <c r="H63" s="6"/>
      <c r="I63" s="6"/>
    </row>
    <row r="64" spans="1:9" ht="12.75" hidden="1" customHeight="1">
      <c r="A64" s="85"/>
      <c r="B64" s="88"/>
      <c r="C64" s="103" t="s">
        <v>73</v>
      </c>
      <c r="D64" s="94" t="s">
        <v>72</v>
      </c>
      <c r="E64" s="95"/>
      <c r="F64" s="42">
        <f>G61*2%</f>
        <v>3786.4081480000004</v>
      </c>
      <c r="G64" s="43">
        <f>E64*F64</f>
        <v>0</v>
      </c>
      <c r="H64" s="6"/>
      <c r="I64" s="6"/>
    </row>
    <row r="65" spans="1:9" ht="12.75" hidden="1" customHeight="1">
      <c r="A65" s="91"/>
      <c r="B65" s="96"/>
      <c r="C65" s="44" t="s">
        <v>74</v>
      </c>
      <c r="D65" s="88"/>
      <c r="E65" s="97"/>
      <c r="F65" s="50"/>
      <c r="G65" s="98">
        <f>SUM(G63:G64)</f>
        <v>0</v>
      </c>
      <c r="H65" s="6"/>
      <c r="I65" s="6"/>
    </row>
    <row r="66" spans="1:9" ht="12.75" customHeight="1">
      <c r="A66" s="85">
        <v>4</v>
      </c>
      <c r="B66" s="99"/>
      <c r="C66" s="87" t="s">
        <v>75</v>
      </c>
      <c r="D66" s="88"/>
      <c r="E66" s="89"/>
      <c r="F66" s="90"/>
      <c r="G66" s="43"/>
      <c r="H66" s="6"/>
      <c r="I66" s="6"/>
    </row>
    <row r="67" spans="1:9" ht="25.5">
      <c r="A67" s="85"/>
      <c r="B67" s="104">
        <v>10775</v>
      </c>
      <c r="C67" s="103" t="s">
        <v>76</v>
      </c>
      <c r="D67" s="94" t="s">
        <v>77</v>
      </c>
      <c r="E67" s="95">
        <v>4</v>
      </c>
      <c r="F67" s="42">
        <v>495</v>
      </c>
      <c r="G67" s="73">
        <f>E67*F67</f>
        <v>1980</v>
      </c>
      <c r="H67" s="6"/>
      <c r="I67" s="6"/>
    </row>
    <row r="68" spans="1:9" ht="15" customHeight="1">
      <c r="A68" s="85"/>
      <c r="B68" s="105" t="s">
        <v>78</v>
      </c>
      <c r="C68" s="103" t="s">
        <v>79</v>
      </c>
      <c r="D68" s="94" t="s">
        <v>38</v>
      </c>
      <c r="E68" s="106">
        <v>1.5</v>
      </c>
      <c r="F68" s="42">
        <v>175.68</v>
      </c>
      <c r="G68" s="43">
        <f>E68*F68</f>
        <v>263.52</v>
      </c>
      <c r="H68" s="6"/>
      <c r="I68" s="6"/>
    </row>
    <row r="69" spans="1:9" ht="12.75" customHeight="1">
      <c r="A69" s="85"/>
      <c r="B69" s="88"/>
      <c r="C69" s="103"/>
      <c r="D69" s="94"/>
      <c r="E69" s="95"/>
      <c r="F69" s="42"/>
      <c r="G69" s="43"/>
      <c r="H69" s="6"/>
      <c r="I69" s="6"/>
    </row>
    <row r="70" spans="1:9" ht="12.75" hidden="1" customHeight="1">
      <c r="A70" s="107"/>
      <c r="B70" s="92"/>
      <c r="C70" s="103" t="s">
        <v>80</v>
      </c>
      <c r="D70" s="94" t="s">
        <v>77</v>
      </c>
      <c r="E70" s="95"/>
      <c r="F70" s="42">
        <f>G61*0.005/6</f>
        <v>157.76700616666668</v>
      </c>
      <c r="G70" s="43">
        <f>E70*F70</f>
        <v>0</v>
      </c>
      <c r="H70" s="6"/>
      <c r="I70" s="6"/>
    </row>
    <row r="71" spans="1:9" ht="12.75" hidden="1" customHeight="1">
      <c r="A71" s="91"/>
      <c r="B71" s="92"/>
      <c r="C71" s="103" t="s">
        <v>81</v>
      </c>
      <c r="D71" s="94" t="s">
        <v>72</v>
      </c>
      <c r="E71" s="95"/>
      <c r="F71" s="42">
        <f>G61*0.5%</f>
        <v>946.60203700000011</v>
      </c>
      <c r="G71" s="43">
        <f>E71*F71</f>
        <v>0</v>
      </c>
      <c r="H71" s="6"/>
      <c r="I71" s="6"/>
    </row>
    <row r="72" spans="1:9" ht="12.75" customHeight="1">
      <c r="A72" s="108"/>
      <c r="B72" s="92"/>
      <c r="C72" s="44" t="s">
        <v>82</v>
      </c>
      <c r="D72" s="88"/>
      <c r="E72" s="97"/>
      <c r="F72" s="42"/>
      <c r="G72" s="67">
        <f>SUM(G67:G68)</f>
        <v>2243.52</v>
      </c>
      <c r="H72" s="6"/>
      <c r="I72" s="6"/>
    </row>
    <row r="73" spans="1:9" ht="12.75" hidden="1" customHeight="1">
      <c r="A73" s="109"/>
      <c r="B73" s="86"/>
      <c r="C73" s="100" t="s">
        <v>83</v>
      </c>
      <c r="D73" s="101"/>
      <c r="E73" s="97"/>
      <c r="F73" s="102"/>
      <c r="G73" s="110">
        <f>G61+G72+G65</f>
        <v>191563.92740000002</v>
      </c>
      <c r="H73" s="6"/>
      <c r="I73" s="6"/>
    </row>
    <row r="74" spans="1:9" ht="12.75" hidden="1" customHeight="1">
      <c r="A74" s="109"/>
      <c r="B74" s="111"/>
      <c r="C74" s="100" t="s">
        <v>84</v>
      </c>
      <c r="D74" s="112" t="s">
        <v>72</v>
      </c>
      <c r="E74" s="113"/>
      <c r="F74" s="114">
        <f>G73*10%</f>
        <v>19156.392740000003</v>
      </c>
      <c r="G74" s="115">
        <f>E74*F74</f>
        <v>0</v>
      </c>
      <c r="H74" s="6"/>
      <c r="I74" s="6"/>
    </row>
    <row r="75" spans="1:9" ht="12.75" customHeight="1">
      <c r="A75" s="109"/>
      <c r="B75" s="109"/>
      <c r="C75" s="100" t="s">
        <v>85</v>
      </c>
      <c r="D75" s="112"/>
      <c r="E75" s="113"/>
      <c r="F75" s="29"/>
      <c r="G75" s="45">
        <f>G61+G72</f>
        <v>191563.92740000002</v>
      </c>
      <c r="H75" s="6"/>
      <c r="I75" s="6"/>
    </row>
    <row r="76" spans="1:9" ht="12.75" hidden="1" customHeight="1">
      <c r="A76" s="85"/>
      <c r="B76" s="109"/>
      <c r="C76" s="100" t="s">
        <v>86</v>
      </c>
      <c r="D76" s="112" t="s">
        <v>72</v>
      </c>
      <c r="E76" s="113"/>
      <c r="F76" s="29"/>
      <c r="G76" s="115"/>
      <c r="H76" s="6"/>
      <c r="I76" s="6"/>
    </row>
    <row r="77" spans="1:9" ht="12.75" customHeight="1">
      <c r="A77" s="46"/>
      <c r="B77" s="109"/>
      <c r="C77" s="100" t="s">
        <v>87</v>
      </c>
      <c r="D77" s="112" t="s">
        <v>72</v>
      </c>
      <c r="E77" s="113">
        <v>1</v>
      </c>
      <c r="F77" s="29">
        <f>G75*0.25</f>
        <v>47890.981850000004</v>
      </c>
      <c r="G77" s="45">
        <f>E77*F77</f>
        <v>47890.981850000004</v>
      </c>
      <c r="H77" s="6"/>
      <c r="I77" s="6"/>
    </row>
    <row r="78" spans="1:9" ht="23.25" customHeight="1">
      <c r="A78" s="53"/>
      <c r="B78" s="109"/>
      <c r="C78" s="100" t="s">
        <v>88</v>
      </c>
      <c r="D78" s="112"/>
      <c r="E78" s="113"/>
      <c r="F78" s="29"/>
      <c r="G78" s="116">
        <f>G61+G65+G72+G77</f>
        <v>239454.90925000003</v>
      </c>
      <c r="H78" s="6"/>
      <c r="I78" s="6"/>
    </row>
    <row r="79" spans="1:9" ht="12.75" customHeight="1">
      <c r="A79" s="6"/>
      <c r="B79" s="6"/>
      <c r="C79" s="6"/>
      <c r="D79" s="21"/>
      <c r="E79" s="21"/>
      <c r="F79" s="21"/>
      <c r="G79" s="21"/>
      <c r="H79" s="6"/>
      <c r="I79" s="6"/>
    </row>
    <row r="80" spans="1:9" ht="12.75" customHeight="1">
      <c r="A80" s="6"/>
      <c r="B80" s="6"/>
      <c r="C80" s="6"/>
      <c r="D80" s="21"/>
      <c r="E80" s="21"/>
      <c r="F80" s="21"/>
      <c r="G80" s="117" t="s">
        <v>89</v>
      </c>
      <c r="H80" s="6"/>
      <c r="I80" s="6"/>
    </row>
    <row r="81" spans="1:9" ht="12.75" customHeight="1">
      <c r="A81" s="6"/>
      <c r="B81" s="6"/>
      <c r="C81" s="6"/>
      <c r="D81" s="21"/>
      <c r="E81" s="21"/>
      <c r="F81" s="21"/>
      <c r="G81" s="118"/>
      <c r="H81" s="6"/>
      <c r="I81" s="6"/>
    </row>
    <row r="82" spans="1:9" ht="12.75" customHeight="1">
      <c r="A82" s="6"/>
      <c r="B82" s="6"/>
      <c r="C82" s="6"/>
      <c r="D82" s="21"/>
      <c r="E82" s="21"/>
      <c r="F82" s="21"/>
      <c r="G82" s="21"/>
      <c r="H82" s="6"/>
      <c r="I82" s="6"/>
    </row>
    <row r="83" spans="1:9" ht="12.75" customHeight="1">
      <c r="A83" s="6"/>
      <c r="B83" s="6"/>
      <c r="C83" s="6"/>
      <c r="D83" s="21"/>
      <c r="E83" s="21"/>
      <c r="F83" s="21"/>
      <c r="G83" s="21"/>
      <c r="H83" s="6"/>
      <c r="I83" s="6"/>
    </row>
    <row r="84" spans="1:9" ht="12.75" customHeight="1">
      <c r="A84" s="6"/>
      <c r="B84" s="6"/>
      <c r="C84" s="6"/>
      <c r="D84" s="21"/>
      <c r="E84" s="21"/>
      <c r="F84" s="21"/>
      <c r="G84" s="21"/>
      <c r="H84" s="6"/>
      <c r="I84" s="6"/>
    </row>
    <row r="85" spans="1:9" ht="12.75" customHeight="1">
      <c r="A85" s="6"/>
      <c r="B85" s="6"/>
      <c r="C85" s="6"/>
      <c r="D85" s="21"/>
      <c r="E85" s="21"/>
      <c r="F85" s="21"/>
      <c r="G85" s="21"/>
      <c r="H85" s="6"/>
      <c r="I85" s="6"/>
    </row>
    <row r="86" spans="1:9" ht="12.75" customHeight="1"/>
    <row r="87" spans="1:9" ht="12.75" customHeight="1"/>
    <row r="88" spans="1:9" ht="12.75" customHeight="1"/>
    <row r="89" spans="1:9" ht="12.75" customHeight="1"/>
  </sheetData>
  <sheetProtection selectLockedCells="1" selectUnlockedCells="1"/>
  <mergeCells count="9">
    <mergeCell ref="C2:F2"/>
    <mergeCell ref="A4:G4"/>
    <mergeCell ref="A5:G5"/>
    <mergeCell ref="A9:A10"/>
    <mergeCell ref="B9:B10"/>
    <mergeCell ref="C9:C10"/>
    <mergeCell ref="D9:D10"/>
    <mergeCell ref="E9:E10"/>
    <mergeCell ref="F9:G9"/>
  </mergeCells>
  <printOptions horizontalCentered="1" verticalCentered="1"/>
  <pageMargins left="0.78749999999999998" right="0.39374999999999999" top="0.59027777777777779" bottom="0.59027777777777779" header="0.51180555555555551" footer="0.51180555555555551"/>
  <pageSetup paperSize="9" scale="64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5"/>
  <sheetViews>
    <sheetView view="pageBreakPreview" zoomScale="90" zoomScaleNormal="90" zoomScaleSheetLayoutView="90" workbookViewId="0">
      <selection activeCell="B24" sqref="B24"/>
    </sheetView>
  </sheetViews>
  <sheetFormatPr defaultRowHeight="12.75"/>
  <cols>
    <col min="1" max="1" width="9" style="119" customWidth="1"/>
    <col min="2" max="2" width="35.85546875" style="119" customWidth="1"/>
    <col min="3" max="3" width="16.42578125" style="119" customWidth="1"/>
    <col min="4" max="4" width="8" style="119" customWidth="1"/>
    <col min="5" max="6" width="11.42578125" style="119" customWidth="1"/>
    <col min="7" max="8" width="12.28515625" style="119" customWidth="1"/>
    <col min="9" max="14" width="0" style="119" hidden="1" customWidth="1"/>
    <col min="15" max="15" width="13.7109375" style="119" customWidth="1"/>
    <col min="16" max="16" width="9" style="120" customWidth="1"/>
    <col min="17" max="17" width="9.42578125" style="120" customWidth="1"/>
    <col min="18" max="18" width="9.28515625" style="120" customWidth="1"/>
    <col min="19" max="24" width="9.5703125" style="120" customWidth="1"/>
    <col min="25" max="26" width="9" style="120" customWidth="1"/>
    <col min="27" max="27" width="16.140625" customWidth="1"/>
  </cols>
  <sheetData>
    <row r="1" spans="1:26" ht="20.25">
      <c r="A1" s="182">
        <f>orçamento!C2</f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26" ht="18">
      <c r="A2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26" ht="15.75">
      <c r="A3" s="183" t="s">
        <v>90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</row>
    <row r="4" spans="1:26" ht="7.15" customHeigh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</row>
    <row r="5" spans="1:26" ht="16.7" customHeight="1">
      <c r="A5" s="185" t="str">
        <f>orçamento!A5</f>
        <v>OBRA: LIGAÇÃO DA REDE EXISTENTE DO CONDOMÍNIO VILA REAL AO LAGO DO SILVÉRIO COM A CONSTRUÇÃO DE ESCADA HIDRÁULICA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</row>
    <row r="6" spans="1:26" s="127" customFormat="1" ht="18.399999999999999" customHeight="1">
      <c r="A6" s="122" t="s">
        <v>5</v>
      </c>
      <c r="B6" s="123" t="s">
        <v>91</v>
      </c>
      <c r="C6" s="124" t="s">
        <v>92</v>
      </c>
      <c r="D6" s="124" t="s">
        <v>93</v>
      </c>
      <c r="E6" s="124" t="s">
        <v>94</v>
      </c>
      <c r="F6" s="124" t="s">
        <v>95</v>
      </c>
      <c r="G6" s="124" t="s">
        <v>96</v>
      </c>
      <c r="H6" s="124" t="s">
        <v>97</v>
      </c>
      <c r="I6" s="124" t="s">
        <v>98</v>
      </c>
      <c r="J6" s="124" t="s">
        <v>99</v>
      </c>
      <c r="K6" s="124" t="s">
        <v>100</v>
      </c>
      <c r="L6" s="124" t="s">
        <v>101</v>
      </c>
      <c r="M6" s="124" t="s">
        <v>102</v>
      </c>
      <c r="N6" s="124" t="s">
        <v>103</v>
      </c>
      <c r="O6" s="125" t="s">
        <v>104</v>
      </c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</row>
    <row r="7" spans="1:26" s="134" customFormat="1">
      <c r="A7" s="128">
        <v>1</v>
      </c>
      <c r="B7" s="129" t="str">
        <f>orçamento!C12</f>
        <v>MOVIMENTO DE TERRA</v>
      </c>
      <c r="C7" s="130">
        <f>orçamento!G17*1.25</f>
        <v>22181.22125000001</v>
      </c>
      <c r="D7" s="131">
        <f>C7/$C$17</f>
        <v>9.2632142391543007E-2</v>
      </c>
      <c r="E7" s="132">
        <f>E8*C7</f>
        <v>7763.4274375000032</v>
      </c>
      <c r="F7" s="132">
        <f>F8*C7</f>
        <v>7763.4274375000032</v>
      </c>
      <c r="G7" s="132">
        <f>G8*C7</f>
        <v>6654.3663750000023</v>
      </c>
      <c r="H7" s="132">
        <f>H8*C7</f>
        <v>0</v>
      </c>
      <c r="I7" s="132">
        <f t="shared" ref="I7:N7" si="0">I8*$C$7</f>
        <v>0</v>
      </c>
      <c r="J7" s="132">
        <f t="shared" si="0"/>
        <v>0</v>
      </c>
      <c r="K7" s="132">
        <f t="shared" si="0"/>
        <v>0</v>
      </c>
      <c r="L7" s="132">
        <f t="shared" si="0"/>
        <v>0</v>
      </c>
      <c r="M7" s="132">
        <f t="shared" si="0"/>
        <v>0</v>
      </c>
      <c r="N7" s="132">
        <f t="shared" si="0"/>
        <v>0</v>
      </c>
      <c r="O7" s="133">
        <f t="shared" ref="O7:O14" si="1">SUM(E7:N7)</f>
        <v>22181.22125000001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s="134" customFormat="1">
      <c r="A8" s="135"/>
      <c r="B8" s="136"/>
      <c r="C8" s="137"/>
      <c r="D8" s="138"/>
      <c r="E8" s="139">
        <v>0.35</v>
      </c>
      <c r="F8" s="139">
        <v>0.35</v>
      </c>
      <c r="G8" s="139">
        <v>0.3</v>
      </c>
      <c r="H8" s="139"/>
      <c r="I8" s="139"/>
      <c r="J8" s="139"/>
      <c r="K8" s="139"/>
      <c r="L8" s="139"/>
      <c r="M8" s="139"/>
      <c r="N8" s="139"/>
      <c r="O8" s="140">
        <f t="shared" si="1"/>
        <v>1</v>
      </c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</row>
    <row r="9" spans="1:26" s="134" customFormat="1">
      <c r="A9" s="128">
        <v>2</v>
      </c>
      <c r="B9" s="129" t="str">
        <f>orçamento!C18</f>
        <v>ESTRUTURAS</v>
      </c>
      <c r="C9" s="130">
        <f>orçamento!G36*1.25</f>
        <v>202799.64025</v>
      </c>
      <c r="D9" s="131">
        <f>C9/$C$17</f>
        <v>0.8469220400834192</v>
      </c>
      <c r="E9" s="132">
        <f>E10*C9</f>
        <v>10139.982012500001</v>
      </c>
      <c r="F9" s="132">
        <f>F10*C9</f>
        <v>81119.856100000005</v>
      </c>
      <c r="G9" s="132">
        <f>G10*C9</f>
        <v>81119.856100000005</v>
      </c>
      <c r="H9" s="132">
        <f>H10*C9</f>
        <v>30419.946037499998</v>
      </c>
      <c r="I9" s="132">
        <f t="shared" ref="I9:N9" si="2">I10*$C$7</f>
        <v>0</v>
      </c>
      <c r="J9" s="132">
        <f t="shared" si="2"/>
        <v>0</v>
      </c>
      <c r="K9" s="132">
        <f t="shared" si="2"/>
        <v>0</v>
      </c>
      <c r="L9" s="132">
        <f t="shared" si="2"/>
        <v>0</v>
      </c>
      <c r="M9" s="132">
        <f t="shared" si="2"/>
        <v>0</v>
      </c>
      <c r="N9" s="132">
        <f t="shared" si="2"/>
        <v>0</v>
      </c>
      <c r="O9" s="133">
        <f t="shared" si="1"/>
        <v>202799.64025</v>
      </c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</row>
    <row r="10" spans="1:26" s="134" customFormat="1">
      <c r="A10" s="141"/>
      <c r="B10" s="136"/>
      <c r="C10" s="142"/>
      <c r="D10" s="138"/>
      <c r="E10" s="139">
        <v>0.05</v>
      </c>
      <c r="F10" s="139">
        <v>0.4</v>
      </c>
      <c r="G10" s="139">
        <v>0.4</v>
      </c>
      <c r="H10" s="139">
        <v>0.15</v>
      </c>
      <c r="I10" s="139"/>
      <c r="J10" s="139"/>
      <c r="K10" s="139"/>
      <c r="L10" s="139"/>
      <c r="M10" s="139"/>
      <c r="N10" s="139"/>
      <c r="O10" s="140">
        <f t="shared" si="1"/>
        <v>1</v>
      </c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</row>
    <row r="11" spans="1:26" s="134" customFormat="1">
      <c r="A11" s="128">
        <v>3</v>
      </c>
      <c r="B11" s="129" t="str">
        <f>orçamento!C37</f>
        <v xml:space="preserve"> PAVIMENTAÇÃO</v>
      </c>
      <c r="C11" s="130">
        <f>orçamento!G57*1.25</f>
        <v>11669.64775</v>
      </c>
      <c r="D11" s="131">
        <f>C11/$C$17</f>
        <v>4.8734218006014844E-2</v>
      </c>
      <c r="E11" s="132">
        <f>E12*C11</f>
        <v>1750.4471624999999</v>
      </c>
      <c r="F11" s="132">
        <f>F12*C11</f>
        <v>0</v>
      </c>
      <c r="G11" s="132">
        <f>G12*C11</f>
        <v>0</v>
      </c>
      <c r="H11" s="132">
        <f>H12*C11</f>
        <v>9919.2005874999995</v>
      </c>
      <c r="I11" s="132">
        <f t="shared" ref="I11:N11" si="3">I12*$C$7</f>
        <v>0</v>
      </c>
      <c r="J11" s="132">
        <f t="shared" si="3"/>
        <v>0</v>
      </c>
      <c r="K11" s="132">
        <f t="shared" si="3"/>
        <v>0</v>
      </c>
      <c r="L11" s="132">
        <f t="shared" si="3"/>
        <v>0</v>
      </c>
      <c r="M11" s="132">
        <f t="shared" si="3"/>
        <v>0</v>
      </c>
      <c r="N11" s="132">
        <f t="shared" si="3"/>
        <v>0</v>
      </c>
      <c r="O11" s="133">
        <f t="shared" si="1"/>
        <v>11669.64775</v>
      </c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</row>
    <row r="12" spans="1:26" s="134" customFormat="1">
      <c r="A12" s="141"/>
      <c r="B12" s="136"/>
      <c r="C12" s="142"/>
      <c r="D12" s="138"/>
      <c r="E12" s="139">
        <v>0.15</v>
      </c>
      <c r="F12" s="139"/>
      <c r="G12" s="139"/>
      <c r="H12" s="139">
        <v>0.85</v>
      </c>
      <c r="I12" s="139"/>
      <c r="J12" s="139"/>
      <c r="K12" s="139"/>
      <c r="L12" s="139"/>
      <c r="M12" s="139"/>
      <c r="N12" s="139"/>
      <c r="O12" s="140">
        <f t="shared" si="1"/>
        <v>1</v>
      </c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</row>
    <row r="13" spans="1:26" s="134" customFormat="1">
      <c r="A13" s="128">
        <v>4</v>
      </c>
      <c r="B13" s="129" t="str">
        <f>orçamento!C66</f>
        <v>CANTEIRO DE OBRAS</v>
      </c>
      <c r="C13" s="130">
        <f>orçamento!G72*1.25</f>
        <v>2804.4</v>
      </c>
      <c r="D13" s="131">
        <f>C13/$C$17</f>
        <v>1.1711599519023017E-2</v>
      </c>
      <c r="E13" s="132">
        <f>E14*C13</f>
        <v>2804.4</v>
      </c>
      <c r="F13" s="132">
        <f>F14*C13</f>
        <v>0</v>
      </c>
      <c r="G13" s="132">
        <f>G14*C13</f>
        <v>0</v>
      </c>
      <c r="H13" s="132">
        <f>H14*C13</f>
        <v>0</v>
      </c>
      <c r="I13" s="132">
        <f t="shared" ref="I13:N13" si="4">I14*$C$7</f>
        <v>0</v>
      </c>
      <c r="J13" s="132">
        <f t="shared" si="4"/>
        <v>0</v>
      </c>
      <c r="K13" s="132">
        <f t="shared" si="4"/>
        <v>0</v>
      </c>
      <c r="L13" s="132">
        <f t="shared" si="4"/>
        <v>0</v>
      </c>
      <c r="M13" s="132">
        <f t="shared" si="4"/>
        <v>0</v>
      </c>
      <c r="N13" s="132">
        <f t="shared" si="4"/>
        <v>0</v>
      </c>
      <c r="O13" s="133">
        <f t="shared" si="1"/>
        <v>2804.4</v>
      </c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</row>
    <row r="14" spans="1:26" s="134" customFormat="1">
      <c r="A14" s="141"/>
      <c r="B14" s="136"/>
      <c r="C14" s="142"/>
      <c r="D14" s="138"/>
      <c r="E14" s="139">
        <v>1</v>
      </c>
      <c r="F14" s="139"/>
      <c r="G14" s="139"/>
      <c r="H14" s="139"/>
      <c r="I14" s="139"/>
      <c r="J14" s="139"/>
      <c r="K14" s="139"/>
      <c r="L14" s="139"/>
      <c r="M14" s="139"/>
      <c r="N14" s="139"/>
      <c r="O14" s="140">
        <f t="shared" si="1"/>
        <v>1</v>
      </c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</row>
    <row r="15" spans="1:26" s="134" customFormat="1" hidden="1">
      <c r="A15" s="128"/>
      <c r="B15" s="129"/>
      <c r="C15" s="130"/>
      <c r="D15" s="131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</row>
    <row r="16" spans="1:26" s="134" customFormat="1" hidden="1">
      <c r="A16" s="135"/>
      <c r="B16" s="143"/>
      <c r="C16" s="142"/>
      <c r="D16" s="138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0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</row>
    <row r="17" spans="1:27" s="134" customFormat="1">
      <c r="A17" s="144"/>
      <c r="B17" s="145" t="s">
        <v>105</v>
      </c>
      <c r="C17" s="146">
        <f t="shared" ref="C17:O17" si="5">C15+C13+C11+C9+C7</f>
        <v>239454.90925</v>
      </c>
      <c r="D17" s="147">
        <f t="shared" si="5"/>
        <v>1</v>
      </c>
      <c r="E17" s="146">
        <f t="shared" si="5"/>
        <v>22458.256612500005</v>
      </c>
      <c r="F17" s="146">
        <f t="shared" si="5"/>
        <v>88883.283537500014</v>
      </c>
      <c r="G17" s="146">
        <f t="shared" si="5"/>
        <v>87774.222475000002</v>
      </c>
      <c r="H17" s="146">
        <f t="shared" si="5"/>
        <v>40339.146624999994</v>
      </c>
      <c r="I17" s="146">
        <f t="shared" si="5"/>
        <v>0</v>
      </c>
      <c r="J17" s="146">
        <f t="shared" si="5"/>
        <v>0</v>
      </c>
      <c r="K17" s="146">
        <f t="shared" si="5"/>
        <v>0</v>
      </c>
      <c r="L17" s="146">
        <f t="shared" si="5"/>
        <v>0</v>
      </c>
      <c r="M17" s="146">
        <f t="shared" si="5"/>
        <v>0</v>
      </c>
      <c r="N17" s="146">
        <f t="shared" si="5"/>
        <v>0</v>
      </c>
      <c r="O17" s="148">
        <f t="shared" si="5"/>
        <v>239454.90925</v>
      </c>
      <c r="P17" s="11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50"/>
    </row>
    <row r="18" spans="1:27" s="134" customFormat="1">
      <c r="A18" s="151"/>
      <c r="B18" s="152"/>
      <c r="C18" s="153"/>
      <c r="D18" s="153"/>
      <c r="E18" s="152"/>
      <c r="F18" s="154"/>
      <c r="G18" s="154"/>
      <c r="H18" s="154"/>
      <c r="I18" s="154"/>
      <c r="J18" s="154"/>
      <c r="K18" s="154"/>
      <c r="L18" s="154"/>
      <c r="M18" s="154"/>
      <c r="N18" s="154"/>
      <c r="O18" s="155"/>
      <c r="P18" s="119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7"/>
    </row>
    <row r="19" spans="1:27" s="134" customFormat="1">
      <c r="A19" s="158" t="s">
        <v>106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9" t="str">
        <f>orçamento!G80</f>
        <v>06 agosto de 2019.</v>
      </c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</row>
    <row r="20" spans="1:27" s="134" customFormat="1">
      <c r="A20" s="152"/>
      <c r="B20" s="152"/>
      <c r="C20" s="152"/>
      <c r="D20" s="160"/>
      <c r="E20" s="161"/>
      <c r="F20" s="160"/>
      <c r="G20" s="160"/>
      <c r="H20" s="160"/>
      <c r="I20" s="160"/>
      <c r="J20" s="160"/>
      <c r="K20" s="160"/>
      <c r="L20" s="160"/>
      <c r="M20" s="160"/>
      <c r="N20" s="160"/>
      <c r="O20" s="162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</row>
    <row r="21" spans="1:27" s="134" customFormat="1">
      <c r="A21" s="163"/>
      <c r="B21" s="164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</row>
    <row r="22" spans="1:27" s="134" customFormat="1" ht="14.45" customHeight="1">
      <c r="A22" s="163"/>
      <c r="B22" s="165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</row>
    <row r="23" spans="1:27" s="134" customFormat="1" ht="15.75">
      <c r="A23" s="163"/>
      <c r="B23" s="165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</row>
    <row r="24" spans="1:27" s="134" customFormat="1" ht="14.25">
      <c r="A24" s="163"/>
      <c r="B24" s="164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66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</row>
    <row r="25" spans="1:27" s="134" customFormat="1" ht="14.25">
      <c r="A25" s="167"/>
      <c r="B25" s="168"/>
      <c r="C25" s="169"/>
      <c r="D25" s="166"/>
      <c r="E25" s="169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</row>
    <row r="26" spans="1:27" s="134" customFormat="1" ht="14.25">
      <c r="A26" s="163"/>
      <c r="B26" s="164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</row>
    <row r="27" spans="1:27" s="134" customFormat="1" ht="14.25">
      <c r="A27" s="163"/>
      <c r="B27" s="168"/>
      <c r="C27" s="166"/>
      <c r="D27" s="169"/>
      <c r="E27" s="166"/>
      <c r="F27" s="169"/>
      <c r="G27" s="169"/>
      <c r="H27" s="169"/>
      <c r="I27" s="169"/>
      <c r="J27" s="169"/>
      <c r="K27" s="169"/>
      <c r="L27" s="169"/>
      <c r="M27" s="169"/>
      <c r="N27" s="169"/>
      <c r="O27" s="170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</row>
    <row r="28" spans="1:27" s="134" customFormat="1" ht="14.25">
      <c r="A28" s="163"/>
      <c r="B28" s="168"/>
      <c r="C28" s="166"/>
      <c r="D28" s="169"/>
      <c r="E28" s="166"/>
      <c r="F28" s="169"/>
      <c r="G28" s="169"/>
      <c r="H28" s="169"/>
      <c r="I28" s="169"/>
      <c r="J28" s="169"/>
      <c r="K28" s="169"/>
      <c r="L28" s="169"/>
      <c r="M28" s="169"/>
      <c r="N28" s="169"/>
      <c r="O28" s="171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</row>
    <row r="29" spans="1:27" s="134" customFormat="1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</row>
    <row r="32" spans="1:27">
      <c r="B32" s="172"/>
    </row>
    <row r="33" spans="2:15">
      <c r="B33" s="173"/>
    </row>
    <row r="34" spans="2:15">
      <c r="B34" s="174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</row>
    <row r="35" spans="2:15">
      <c r="B35" s="174"/>
      <c r="E35" s="175"/>
      <c r="F35" s="175"/>
      <c r="G35" s="175"/>
      <c r="H35" s="175"/>
      <c r="I35" s="175"/>
      <c r="J35" s="175"/>
      <c r="K35" s="175"/>
      <c r="L35" s="175"/>
      <c r="M35" s="175"/>
      <c r="N35" s="175"/>
    </row>
  </sheetData>
  <sheetProtection selectLockedCells="1" selectUnlockedCells="1"/>
  <mergeCells count="4">
    <mergeCell ref="A1:O1"/>
    <mergeCell ref="A3:O3"/>
    <mergeCell ref="A4:O4"/>
    <mergeCell ref="A5:O5"/>
  </mergeCells>
  <printOptions horizontalCentered="1" verticalCentered="1"/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orçamento!Excel_BuiltIn_Print_Area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gabriela_guedes</cp:lastModifiedBy>
  <cp:lastPrinted>2019-08-07T14:15:50Z</cp:lastPrinted>
  <dcterms:created xsi:type="dcterms:W3CDTF">2019-08-07T14:16:19Z</dcterms:created>
  <dcterms:modified xsi:type="dcterms:W3CDTF">2019-08-07T14:18:02Z</dcterms:modified>
</cp:coreProperties>
</file>