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00" windowHeight="12360" tabRatio="199"/>
  </bookViews>
  <sheets>
    <sheet name="orçamento" sheetId="1" r:id="rId1"/>
    <sheet name="cronograma" sheetId="2" r:id="rId2"/>
    <sheet name="BDI" sheetId="3" r:id="rId3"/>
  </sheets>
  <definedNames>
    <definedName name="_xlnm.Print_Area" localSheetId="2">BDI!$A$1:$E$59</definedName>
    <definedName name="_xlnm.Print_Area" localSheetId="1">cronograma!$A$1:$O$29</definedName>
    <definedName name="_xlnm.Print_Area" localSheetId="0">orçamento!$A$1:$G$84</definedName>
    <definedName name="Excel_BuiltIn_Print_Area" localSheetId="0">orçamento!$A$1:$G$77</definedName>
  </definedNames>
  <calcPr calcId="144525"/>
</workbook>
</file>

<file path=xl/sharedStrings.xml><?xml version="1.0" encoding="utf-8"?>
<sst xmlns="http://schemas.openxmlformats.org/spreadsheetml/2006/main" count="147">
  <si>
    <t>OBRA: LIGAÇÃO DA REDE EXISTENTE DO CONDOMÍNIO VILA REAL AO LAGO DO SILVÉRIO COM A CONSTRUÇÃO DE ESCADA HIDRÁULICA</t>
  </si>
  <si>
    <r>
      <t>CRONOGRAMA PARA EXECUÇÃO:</t>
    </r>
    <r>
      <rPr>
        <b/>
        <sz val="10"/>
        <rFont val="Tahoma"/>
        <family val="2"/>
        <charset val="0"/>
      </rPr>
      <t xml:space="preserve"> 4 meses</t>
    </r>
  </si>
  <si>
    <r>
      <t>DATA BASE:</t>
    </r>
    <r>
      <rPr>
        <b/>
        <sz val="10"/>
        <rFont val="Tahoma"/>
        <family val="2"/>
        <charset val="0"/>
      </rPr>
      <t xml:space="preserve"> </t>
    </r>
  </si>
  <si>
    <t>JAN/2019 – SIURB ---- NOV/2019 – CPOS 177 (sem desoneração)</t>
  </si>
  <si>
    <t>ITEM</t>
  </si>
  <si>
    <t>CÓDIGO</t>
  </si>
  <si>
    <t>DESCRIÇÃO</t>
  </si>
  <si>
    <t>UN.</t>
  </si>
  <si>
    <t>QTDE.</t>
  </si>
  <si>
    <t>VALOR (R$)</t>
  </si>
  <si>
    <t>UNIT.</t>
  </si>
  <si>
    <t>TOTAL</t>
  </si>
  <si>
    <t>MOVIMENTO DE TERRA</t>
  </si>
  <si>
    <t>Escavação mecânica para fundações e valas com profundidade menor ou igual à 4,0m</t>
  </si>
  <si>
    <t>m³</t>
  </si>
  <si>
    <t>Reenchimento de vala com compactação, sem fornecimento de terra</t>
  </si>
  <si>
    <t>Carga e remoção de terra até a distância média de 1,0km (Considerando 30% de empolamento)</t>
  </si>
  <si>
    <t>Remoção de terra além do primeiro km (bota-fora ~15km)</t>
  </si>
  <si>
    <t>m³xkm</t>
  </si>
  <si>
    <t>subtotal</t>
  </si>
  <si>
    <t>ESTRUTURAS</t>
  </si>
  <si>
    <t>Fundação de rachão</t>
  </si>
  <si>
    <t>Arrancamento e remoção de canalização ( &gt; ø0,60m)</t>
  </si>
  <si>
    <t>m</t>
  </si>
  <si>
    <t>Escoramento descontinuo de madeira para canaliz.de tubos</t>
  </si>
  <si>
    <t xml:space="preserve">m² </t>
  </si>
  <si>
    <t>Escoramento continuo de madeira para canaliz.de tubos</t>
  </si>
  <si>
    <t xml:space="preserve">Lastro de brita e pó de pedra </t>
  </si>
  <si>
    <t>Fornecimento e assentamento de tubos de concreto armado, ø1,50m TIPO PA-2</t>
  </si>
  <si>
    <t>Poço de visita tipo 1(2,90x2,90x2,50)</t>
  </si>
  <si>
    <t>un</t>
  </si>
  <si>
    <t>Chaminé de poço de visita com alvenaria de 1 tijolo comum</t>
  </si>
  <si>
    <t>Instalação de tampão para galeria de águas pluvais - articulado, exceto fornecimento de tampão</t>
  </si>
  <si>
    <t>Fornecimento de tampão de ferro fundido dúctil classe mínima 400 (40T) D=600 mm - NBR 10160 não articulado - p/ gal. águas pluviais</t>
  </si>
  <si>
    <t>Boca de lobo dupla</t>
  </si>
  <si>
    <t>Boca de lobo tripla</t>
  </si>
  <si>
    <t>Forma, inclusive cimbramento</t>
  </si>
  <si>
    <t>m²</t>
  </si>
  <si>
    <t>Fornecimento e aplicação de aço CA-50 diâmetro &lt; ou = a 1/2"</t>
  </si>
  <si>
    <t>kg</t>
  </si>
  <si>
    <t>Fornecimento e aplicação de concreto usinado Fck=30,00 Mpa</t>
  </si>
  <si>
    <t>Tapume móvel</t>
  </si>
  <si>
    <t>Iluminação</t>
  </si>
  <si>
    <t xml:space="preserve"> PAVIMENTAÇÃO</t>
  </si>
  <si>
    <t>Arrancamento de guias, inclui carga em caminhão</t>
  </si>
  <si>
    <t xml:space="preserve">Demolição de pavimento de concreto, sarjeta ou sarjetão, inclui carga em caminhão </t>
  </si>
  <si>
    <t xml:space="preserve">Demolição de pavimento asfáltico, inclusive capa, inclui carga no caminhão </t>
  </si>
  <si>
    <t>Base de concreto fck=15MPa para guias, sarjetas ou sarjetões</t>
  </si>
  <si>
    <t>Fornecimento e assentamento de guias tipo PMSP 100, inclusive encostamento de terra - fck=25MPa</t>
  </si>
  <si>
    <t>Construção de sarjeta ou sarjetão de concreto - fck=20MPa</t>
  </si>
  <si>
    <t>Base de binder denso (sem transporte)</t>
  </si>
  <si>
    <t xml:space="preserve">Imprimação betuminosa ligante </t>
  </si>
  <si>
    <t xml:space="preserve">Imprimação betuminosa impermeabilizante </t>
  </si>
  <si>
    <t>Revestimento de concreto asfáltico (sem transporte)</t>
  </si>
  <si>
    <t>Passeio de concreto fck=15MPa, inclusive preparo de caixa e lastro de brita</t>
  </si>
  <si>
    <t>Brita graduada</t>
  </si>
  <si>
    <t xml:space="preserve">Carga, descarga e transporte de concreto asfáltico, até a distância média de ida e volta de 1 km </t>
  </si>
  <si>
    <t>Transporte de concreto asfáltico, além do primeiro km (15km)</t>
  </si>
  <si>
    <t xml:space="preserve">Carga, descarga e transporte de binder, até a distância média de ida e volta de 1 km </t>
  </si>
  <si>
    <t>Transporte de binder além do primeiro km (15km)</t>
  </si>
  <si>
    <t>Transporte de pavimento de concreto, sarjeta e sarjetão (15Km)</t>
  </si>
  <si>
    <t>m²xkm</t>
  </si>
  <si>
    <t>Transporte de guias (15km)</t>
  </si>
  <si>
    <t>mxkm</t>
  </si>
  <si>
    <t>Fundação de agregado reciclado, com fornecimento de agregado</t>
  </si>
  <si>
    <t>ESGOTAMENTO D'ÁGUA</t>
  </si>
  <si>
    <t>Esgotamento d'água com bomba submersa</t>
  </si>
  <si>
    <t>hpxh</t>
  </si>
  <si>
    <t>VALOR DOS SERVIÇOS (*I)</t>
  </si>
  <si>
    <t>PROJETO EXECUTIVO E A.T.O.</t>
  </si>
  <si>
    <t>Projeto executivo (4% do valor dos serviços)</t>
  </si>
  <si>
    <t>vb</t>
  </si>
  <si>
    <t>A.T.O. (2% do valos dos serviços)</t>
  </si>
  <si>
    <t xml:space="preserve">TOTA PROJETO EXECUTIVO E A.T.O. (*II) </t>
  </si>
  <si>
    <t>CANTEIRO DE OBRAS</t>
  </si>
  <si>
    <t>01.17.051 CPOS</t>
  </si>
  <si>
    <t>Projeto executivo de estrutura</t>
  </si>
  <si>
    <t>02.02.150 CPOS</t>
  </si>
  <si>
    <t>Locação de container</t>
  </si>
  <si>
    <t>unxmês</t>
  </si>
  <si>
    <t>10-16-03</t>
  </si>
  <si>
    <t>Placa de obra em chapa de aço galvanizado 2,25m x 1,50m</t>
  </si>
  <si>
    <t>Manutenção do Canteiro de Obras (máximo 0,5% do valor dos serviços)</t>
  </si>
  <si>
    <t>mês</t>
  </si>
  <si>
    <t>Desmobilização do Canteiro de Obras (máximo 0,5% do valor dos serviços)</t>
  </si>
  <si>
    <t>TOTAL DE CANTEIRO DE OBRAS (*II)</t>
  </si>
  <si>
    <t>TOTAL DA OBRA</t>
  </si>
  <si>
    <t>SERVIÇOS EVENTUAIS (10% DO TOTAL DA OBRA)</t>
  </si>
  <si>
    <t>TOTAL SEM BDI</t>
  </si>
  <si>
    <t>PROJETO EXECUTIVO E A.T.O.   (5% DO VALOR DA OBRA SEM BDI)</t>
  </si>
  <si>
    <t>BDI SOBRE TOTAL DOS SERVIÇOS (I)(25%) (*III)</t>
  </si>
  <si>
    <t>TOTAL GERAL COM BDI (I + II + III)</t>
  </si>
  <si>
    <t>Jahu, 03 de Dezembro de 2019</t>
  </si>
  <si>
    <t>CRONOGRAMA FÍSICO-FINANCEIRO</t>
  </si>
  <si>
    <t>ETAPAS DA CONSTRUÇÃO</t>
  </si>
  <si>
    <t>VALOR DA ETAPA</t>
  </si>
  <si>
    <t>%</t>
  </si>
  <si>
    <t>1°  MÊS</t>
  </si>
  <si>
    <t>2°  MÊS</t>
  </si>
  <si>
    <t>3°  MÊS</t>
  </si>
  <si>
    <t>4°  MÊS</t>
  </si>
  <si>
    <t>5°  MÊS</t>
  </si>
  <si>
    <t>6°  MÊS</t>
  </si>
  <si>
    <t>7°  MÊS</t>
  </si>
  <si>
    <t>8°  MÊS</t>
  </si>
  <si>
    <t>9°  MÊS</t>
  </si>
  <si>
    <t>10°  MÊS</t>
  </si>
  <si>
    <t>TOTAL/SERV.</t>
  </si>
  <si>
    <t>TOTAL DAS ETAPAS / TOTAL GERAL</t>
  </si>
  <si>
    <t>Prazo para a execução da obra: 4 (quatro) meses.</t>
  </si>
  <si>
    <t>COMPOSIÇÃO ANALÍTICA DO BDI - REDES DE ABASTECIMENTO DE ÁGUA, COLETA DE ESGOTO E CONSTRUÇÕES CORRELATAS</t>
  </si>
  <si>
    <t>VALORES DE BDI POR TIPO DE OBRA %</t>
  </si>
  <si>
    <t>TIPO DE OBRA</t>
  </si>
  <si>
    <t>1 Quartil</t>
  </si>
  <si>
    <t>Médio</t>
  </si>
  <si>
    <t>3 Quartil</t>
  </si>
  <si>
    <t>Saneamento Básico</t>
  </si>
  <si>
    <t>VALORES DE REFERÊNCIA - %</t>
  </si>
  <si>
    <t>BDI ADOTADO %</t>
  </si>
  <si>
    <t>1º QUARTIL</t>
  </si>
  <si>
    <t>MÉDIO</t>
  </si>
  <si>
    <t>3º QUARTIL</t>
  </si>
  <si>
    <t>Administração Central</t>
  </si>
  <si>
    <t>Seguro e Garantia (*)</t>
  </si>
  <si>
    <t>Risco</t>
  </si>
  <si>
    <t>Despesas Financeiras</t>
  </si>
  <si>
    <t>Lucro</t>
  </si>
  <si>
    <t>Tributos (soma dos itens abaixo)</t>
  </si>
  <si>
    <t>COFINS</t>
  </si>
  <si>
    <t>PIS</t>
  </si>
  <si>
    <t>ISSQN (**)</t>
  </si>
  <si>
    <t>Fonte da composição, valores de referência e fórmula do BDI:  Acórdão 2622/2013 - TCU - Plenário</t>
  </si>
  <si>
    <t>Os valores de BDI acima foram calculados com emprego da fórmula abaixo:</t>
  </si>
  <si>
    <t>Onde:</t>
  </si>
  <si>
    <t>AC = taxa de rateio da Administração Central;</t>
  </si>
  <si>
    <t>DF = taxa das despesas financeiras;</t>
  </si>
  <si>
    <t>S = taxa de seguro; R = taxa de risco e G = garantia do empreendimento;</t>
  </si>
  <si>
    <t>I = taxa de tributos;</t>
  </si>
  <si>
    <t>L = taxa de lucro.</t>
  </si>
  <si>
    <t>OBS:</t>
  </si>
  <si>
    <t>(*) - PODE HAVER GARANTIA DESDE QUE PREVISTO NO EDITAL DA LICITAÇÃO E NO CONTRATO DE EXECUÇÃO.</t>
  </si>
  <si>
    <t>(**) - PODEM SER ACEITOS OUTROS PERCENTUAIS DE ISS DESDE QUE DEVIDAMENTE EMBASADOS NA LEGISLAÇÃO MUNICIPAL.</t>
  </si>
  <si>
    <r>
      <t xml:space="preserve">Conforme esse Acórdão, o valor final do BDI também deverá obedecer à faixa de variação abaixo, considerando os custos dos serviços </t>
    </r>
    <r>
      <rPr>
        <b/>
        <sz val="12"/>
        <rFont val="Arial"/>
        <family val="2"/>
        <charset val="0"/>
      </rPr>
      <t>sem desoneração</t>
    </r>
    <r>
      <rPr>
        <sz val="12"/>
        <rFont val="Arial"/>
        <family val="2"/>
        <charset val="0"/>
      </rPr>
      <t xml:space="preserve"> dos encargos sociais:</t>
    </r>
  </si>
  <si>
    <t>VALORES DE BDI POR TIPO DE OBRA</t>
  </si>
  <si>
    <r>
      <t xml:space="preserve">Desta forma, após o enquadramento do BDI nos critérios abordados acima e sendo utilizado no orçamento os custos dos serviços </t>
    </r>
    <r>
      <rPr>
        <b/>
        <sz val="12"/>
        <color indexed="8"/>
        <rFont val="Arial"/>
        <family val="2"/>
        <charset val="0"/>
      </rPr>
      <t>com desoneração</t>
    </r>
    <r>
      <rPr>
        <sz val="12"/>
        <color indexed="8"/>
        <rFont val="Arial"/>
        <family val="2"/>
        <charset val="0"/>
      </rPr>
      <t>, deverá ser incluído no item taxa de tributos o percentual de</t>
    </r>
    <r>
      <rPr>
        <b/>
        <sz val="12"/>
        <color indexed="8"/>
        <rFont val="Arial"/>
        <family val="2"/>
        <charset val="0"/>
      </rPr>
      <t xml:space="preserve"> 4,5%</t>
    </r>
    <r>
      <rPr>
        <sz val="12"/>
        <color indexed="8"/>
        <rFont val="Arial"/>
        <family val="2"/>
        <charset val="0"/>
      </rPr>
      <t xml:space="preserve"> referente à contribuição previdenciária e recalculado o BDI. </t>
    </r>
  </si>
  <si>
    <t>Reiteramos que, por determinação do TCU, não é admitida a inclusão de IRPJ e CSLL no BDI, bem como Administração local, Instalação de Canteiro/acampamento, Mobilização/ desmobilização e demais itens que possam ser apropriados como custos diretos da obra, devendo ser apresentada a composição destes, com detalhamentos suficientes que justifiquem o valor obtido, não sendo admitido cálculo com estimativas percentuais genéricas.</t>
  </si>
  <si>
    <r>
      <t>Tributos (</t>
    </r>
    <r>
      <rPr>
        <b/>
        <i/>
        <sz val="12"/>
        <rFont val="Arial"/>
        <family val="2"/>
        <charset val="0"/>
      </rPr>
      <t>Confins, PIS e ISSQN) + 4,5% INSS</t>
    </r>
  </si>
</sst>
</file>

<file path=xl/styles.xml><?xml version="1.0" encoding="utf-8"?>
<styleSheet xmlns="http://schemas.openxmlformats.org/spreadsheetml/2006/main">
  <numFmts count="10">
    <numFmt numFmtId="42" formatCode="_(&quot;$&quot;* #,##0_);_(&quot;$&quot;* \(#,##0\);_(&quot;$&quot;* &quot;-&quot;_);_(@_)"/>
    <numFmt numFmtId="176" formatCode="_-* #,##0.00_-;\-* #,##0.00_-;_-* \-??_-;_-@_-"/>
    <numFmt numFmtId="41" formatCode="_(* #,##0_);_(* \(#,##0\);_(* &quot;-&quot;_);_(@_)"/>
    <numFmt numFmtId="177" formatCode="&quot;R$ &quot;#,##0.00"/>
    <numFmt numFmtId="178" formatCode="_(* #,##0.00_);_(* \(#,##0.00\);_(* \-??_);_(@_)"/>
    <numFmt numFmtId="44" formatCode="_(&quot;$&quot;* #,##0.00_);_(&quot;$&quot;* \(#,##0.00\);_(&quot;$&quot;* &quot;-&quot;??_);_(@_)"/>
    <numFmt numFmtId="179" formatCode="mm/yy"/>
    <numFmt numFmtId="180" formatCode="_(* #,##0_);_(* \(#,##0\);_(* \-??_);_(@_)"/>
    <numFmt numFmtId="181" formatCode="00\-00\-00"/>
    <numFmt numFmtId="182" formatCode="_(* #,##0_);_(* \(#,##0\);_(* \-_);_(@_)"/>
  </numFmts>
  <fonts count="65">
    <font>
      <sz val="10"/>
      <name val="Arial"/>
      <family val="2"/>
      <charset val="0"/>
    </font>
    <font>
      <b/>
      <sz val="24"/>
      <name val="Arial"/>
      <family val="2"/>
      <charset val="0"/>
    </font>
    <font>
      <sz val="16"/>
      <name val="Arial"/>
      <family val="2"/>
      <charset val="0"/>
    </font>
    <font>
      <sz val="11"/>
      <color indexed="10"/>
      <name val="Arial"/>
      <family val="2"/>
      <charset val="0"/>
    </font>
    <font>
      <b/>
      <sz val="12"/>
      <name val="Arial"/>
      <family val="2"/>
      <charset val="0"/>
    </font>
    <font>
      <sz val="12"/>
      <name val="Arial"/>
      <family val="2"/>
      <charset val="0"/>
    </font>
    <font>
      <b/>
      <sz val="14"/>
      <name val="Arial"/>
      <family val="2"/>
      <charset val="0"/>
    </font>
    <font>
      <b/>
      <sz val="12"/>
      <color indexed="10"/>
      <name val="Arial"/>
      <family val="2"/>
      <charset val="0"/>
    </font>
    <font>
      <sz val="12"/>
      <color indexed="10"/>
      <name val="Arial"/>
      <family val="2"/>
      <charset val="0"/>
    </font>
    <font>
      <sz val="11"/>
      <name val="Arial"/>
      <family val="2"/>
      <charset val="0"/>
    </font>
    <font>
      <b/>
      <sz val="11"/>
      <name val="Arial"/>
      <family val="2"/>
      <charset val="0"/>
    </font>
    <font>
      <b/>
      <sz val="16"/>
      <name val="Arial"/>
      <family val="2"/>
      <charset val="0"/>
    </font>
    <font>
      <sz val="10"/>
      <color indexed="18"/>
      <name val="Arial"/>
      <family val="2"/>
      <charset val="0"/>
    </font>
    <font>
      <sz val="12"/>
      <color indexed="8"/>
      <name val="Arial"/>
      <family val="2"/>
      <charset val="0"/>
    </font>
    <font>
      <sz val="18"/>
      <name val="Arial"/>
      <family val="2"/>
      <charset val="0"/>
    </font>
    <font>
      <sz val="9"/>
      <name val="Arial"/>
      <family val="2"/>
      <charset val="0"/>
    </font>
    <font>
      <b/>
      <sz val="18"/>
      <color indexed="8"/>
      <name val="Arial"/>
      <family val="2"/>
      <charset val="0"/>
    </font>
    <font>
      <b/>
      <sz val="16"/>
      <color indexed="8"/>
      <name val="Arial"/>
      <family val="2"/>
      <charset val="0"/>
    </font>
    <font>
      <b/>
      <sz val="12"/>
      <color indexed="8"/>
      <name val="Arial"/>
      <family val="2"/>
      <charset val="0"/>
    </font>
    <font>
      <b/>
      <sz val="8"/>
      <name val="Arial"/>
      <family val="2"/>
      <charset val="0"/>
    </font>
    <font>
      <b/>
      <sz val="10"/>
      <color indexed="8"/>
      <name val="Arial"/>
      <family val="2"/>
      <charset val="0"/>
    </font>
    <font>
      <b/>
      <sz val="9"/>
      <name val="Arial"/>
      <family val="2"/>
      <charset val="0"/>
    </font>
    <font>
      <sz val="8"/>
      <name val="Arial"/>
      <family val="2"/>
      <charset val="0"/>
    </font>
    <font>
      <sz val="7"/>
      <name val="Arial"/>
      <family val="2"/>
      <charset val="0"/>
    </font>
    <font>
      <sz val="6"/>
      <name val="Arial"/>
      <family val="2"/>
      <charset val="0"/>
    </font>
    <font>
      <b/>
      <sz val="7"/>
      <name val="Arial"/>
      <family val="2"/>
      <charset val="0"/>
    </font>
    <font>
      <b/>
      <sz val="10"/>
      <name val="Arial"/>
      <family val="2"/>
      <charset val="0"/>
    </font>
    <font>
      <sz val="11"/>
      <color indexed="8"/>
      <name val="Arial"/>
      <family val="2"/>
      <charset val="0"/>
    </font>
    <font>
      <sz val="10"/>
      <color indexed="8"/>
      <name val="Arial"/>
      <family val="2"/>
      <charset val="0"/>
    </font>
    <font>
      <sz val="8"/>
      <color indexed="8"/>
      <name val="Arial"/>
      <family val="2"/>
      <charset val="0"/>
    </font>
    <font>
      <sz val="10"/>
      <name val="Tahoma"/>
      <family val="2"/>
      <charset val="0"/>
    </font>
    <font>
      <sz val="11"/>
      <color indexed="8"/>
      <name val="Tahoma"/>
      <family val="2"/>
      <charset val="0"/>
    </font>
    <font>
      <b/>
      <sz val="18"/>
      <name val="Tahoma"/>
      <family val="2"/>
      <charset val="0"/>
    </font>
    <font>
      <b/>
      <sz val="14"/>
      <name val="Tahoma"/>
      <family val="2"/>
      <charset val="0"/>
    </font>
    <font>
      <b/>
      <sz val="10"/>
      <name val="Tahoma"/>
      <family val="2"/>
      <charset val="0"/>
    </font>
    <font>
      <b/>
      <sz val="12"/>
      <name val="Tahoma"/>
      <family val="2"/>
      <charset val="0"/>
    </font>
    <font>
      <b/>
      <sz val="10"/>
      <color indexed="8"/>
      <name val="Tahoma"/>
      <family val="2"/>
      <charset val="0"/>
    </font>
    <font>
      <sz val="10"/>
      <color indexed="8"/>
      <name val="Tahoma"/>
      <family val="2"/>
      <charset val="0"/>
    </font>
    <font>
      <b/>
      <i/>
      <sz val="10"/>
      <name val="Tahoma"/>
      <family val="2"/>
      <charset val="0"/>
    </font>
    <font>
      <b/>
      <sz val="10"/>
      <color indexed="50"/>
      <name val="Tahoma"/>
      <family val="2"/>
      <charset val="0"/>
    </font>
    <font>
      <sz val="10"/>
      <color indexed="50"/>
      <name val="Tahoma"/>
      <family val="2"/>
      <charset val="0"/>
    </font>
    <font>
      <sz val="10"/>
      <color indexed="9"/>
      <name val="Tahoma"/>
      <family val="2"/>
      <charset val="0"/>
    </font>
    <font>
      <sz val="10"/>
      <color indexed="10"/>
      <name val="Tahoma"/>
      <family val="2"/>
      <charset val="0"/>
    </font>
    <font>
      <sz val="11"/>
      <color indexed="8"/>
      <name val="Calibri"/>
      <family val="2"/>
      <charset val="0"/>
    </font>
    <font>
      <sz val="11"/>
      <color theme="0"/>
      <name val="Calibri"/>
      <family val="2"/>
      <charset val="0"/>
      <scheme val="minor"/>
    </font>
    <font>
      <b/>
      <sz val="11"/>
      <color rgb="FFFFFFFF"/>
      <name val="Calibri"/>
      <family val="2"/>
      <charset val="0"/>
      <scheme val="minor"/>
    </font>
    <font>
      <sz val="11"/>
      <color theme="1"/>
      <name val="Calibri"/>
      <family val="2"/>
      <charset val="0"/>
      <scheme val="minor"/>
    </font>
    <font>
      <b/>
      <sz val="13"/>
      <color theme="3"/>
      <name val="Calibri"/>
      <family val="2"/>
      <charset val="0"/>
      <scheme val="minor"/>
    </font>
    <font>
      <b/>
      <sz val="11"/>
      <color rgb="FFFA7D00"/>
      <name val="Calibri"/>
      <family val="2"/>
      <charset val="0"/>
      <scheme val="minor"/>
    </font>
    <font>
      <u/>
      <sz val="11"/>
      <color rgb="FF800080"/>
      <name val="Calibri"/>
      <family val="2"/>
      <charset val="0"/>
      <scheme val="minor"/>
    </font>
    <font>
      <sz val="11"/>
      <color indexed="8"/>
      <name val="Calibri"/>
      <family val="2"/>
      <charset val="0"/>
      <scheme val="minor"/>
    </font>
    <font>
      <u/>
      <sz val="11"/>
      <color rgb="FF0000FF"/>
      <name val="Calibri"/>
      <family val="2"/>
      <charset val="0"/>
      <scheme val="minor"/>
    </font>
    <font>
      <b/>
      <sz val="18"/>
      <color theme="3"/>
      <name val="Calibri"/>
      <family val="2"/>
      <charset val="0"/>
      <scheme val="minor"/>
    </font>
    <font>
      <sz val="11"/>
      <color rgb="FFFF0000"/>
      <name val="Calibri"/>
      <family val="2"/>
      <charset val="0"/>
      <scheme val="minor"/>
    </font>
    <font>
      <b/>
      <sz val="11"/>
      <color theme="3"/>
      <name val="Calibri"/>
      <family val="2"/>
      <charset val="0"/>
      <scheme val="minor"/>
    </font>
    <font>
      <i/>
      <sz val="11"/>
      <color rgb="FF7F7F7F"/>
      <name val="Calibri"/>
      <family val="2"/>
      <charset val="0"/>
      <scheme val="minor"/>
    </font>
    <font>
      <b/>
      <sz val="15"/>
      <color theme="3"/>
      <name val="Calibri"/>
      <family val="2"/>
      <charset val="0"/>
      <scheme val="minor"/>
    </font>
    <font>
      <sz val="11"/>
      <color rgb="FF3F3F76"/>
      <name val="Calibri"/>
      <family val="2"/>
      <charset val="0"/>
      <scheme val="minor"/>
    </font>
    <font>
      <sz val="11"/>
      <color rgb="FF006100"/>
      <name val="Calibri"/>
      <family val="2"/>
      <charset val="0"/>
      <scheme val="minor"/>
    </font>
    <font>
      <b/>
      <sz val="11"/>
      <color rgb="FF3F3F3F"/>
      <name val="Calibri"/>
      <family val="2"/>
      <charset val="0"/>
      <scheme val="minor"/>
    </font>
    <font>
      <sz val="11"/>
      <color rgb="FFFA7D00"/>
      <name val="Calibri"/>
      <family val="2"/>
      <charset val="0"/>
      <scheme val="minor"/>
    </font>
    <font>
      <b/>
      <sz val="11"/>
      <color theme="1"/>
      <name val="Calibri"/>
      <family val="2"/>
      <charset val="0"/>
      <scheme val="minor"/>
    </font>
    <font>
      <sz val="11"/>
      <color rgb="FF9C0006"/>
      <name val="Calibri"/>
      <family val="2"/>
      <charset val="0"/>
      <scheme val="minor"/>
    </font>
    <font>
      <sz val="11"/>
      <color rgb="FF9C6500"/>
      <name val="Calibri"/>
      <family val="2"/>
      <charset val="0"/>
      <scheme val="minor"/>
    </font>
    <font>
      <b/>
      <i/>
      <sz val="12"/>
      <name val="Arial"/>
      <family val="2"/>
      <charset val="0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43"/>
        <bgColor indexed="42"/>
      </patternFill>
    </fill>
    <fill>
      <patternFill patternType="solid">
        <fgColor indexed="55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13"/>
        <bgColor indexed="3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46" fillId="10" borderId="0" applyNumberFormat="0" applyBorder="0" applyAlignment="0" applyProtection="0">
      <alignment vertical="center"/>
    </xf>
    <xf numFmtId="176" fontId="43" fillId="0" borderId="0"/>
    <xf numFmtId="41" fontId="0" fillId="0" borderId="0" applyFill="0" applyBorder="0" applyAlignment="0" applyProtection="0"/>
    <xf numFmtId="42" fontId="0" fillId="0" borderId="0" applyFill="0" applyBorder="0" applyAlignment="0" applyProtection="0"/>
    <xf numFmtId="44" fontId="0" fillId="0" borderId="0" applyFill="0" applyBorder="0" applyAlignment="0" applyProtection="0"/>
    <xf numFmtId="9" fontId="0" fillId="0" borderId="0" applyFill="0" applyBorder="0" applyAlignment="0" applyProtection="0"/>
    <xf numFmtId="0" fontId="45" fillId="9" borderId="26" applyNumberFormat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50" fillId="15" borderId="29" applyNumberFormat="0" applyFont="0" applyAlignment="0" applyProtection="0">
      <alignment vertical="center"/>
    </xf>
    <xf numFmtId="0" fontId="28" fillId="0" borderId="0"/>
    <xf numFmtId="0" fontId="51" fillId="0" borderId="0" applyNumberFormat="0" applyFill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7" fillId="21" borderId="28" applyNumberFormat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58" fillId="23" borderId="0" applyNumberFormat="0" applyBorder="0" applyAlignment="0" applyProtection="0">
      <alignment vertical="center"/>
    </xf>
    <xf numFmtId="0" fontId="59" fillId="13" borderId="31" applyNumberFormat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8" fillId="13" borderId="28" applyNumberFormat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1" fillId="0" borderId="33" applyNumberFormat="0" applyFill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63" fillId="27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0" fillId="0" borderId="0"/>
    <xf numFmtId="0" fontId="46" fillId="25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178" fontId="43" fillId="0" borderId="0"/>
    <xf numFmtId="0" fontId="44" fillId="28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28" fillId="0" borderId="0"/>
    <xf numFmtId="0" fontId="44" fillId="38" borderId="0" applyNumberFormat="0" applyBorder="0" applyAlignment="0" applyProtection="0">
      <alignment vertical="center"/>
    </xf>
    <xf numFmtId="178" fontId="43" fillId="0" borderId="0" applyFill="0" applyBorder="0" applyAlignment="0" applyProtection="0"/>
  </cellStyleXfs>
  <cellXfs count="22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2" fontId="5" fillId="0" borderId="4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9" fillId="0" borderId="0" xfId="0" applyFont="1"/>
    <xf numFmtId="0" fontId="10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wrapText="1"/>
    </xf>
    <xf numFmtId="0" fontId="9" fillId="0" borderId="7" xfId="0" applyFont="1" applyBorder="1" applyAlignment="1">
      <alignment wrapText="1"/>
    </xf>
    <xf numFmtId="2" fontId="9" fillId="0" borderId="8" xfId="0" applyNumberFormat="1" applyFont="1" applyBorder="1" applyAlignment="1">
      <alignment wrapText="1"/>
    </xf>
    <xf numFmtId="2" fontId="9" fillId="3" borderId="8" xfId="0" applyNumberFormat="1" applyFont="1" applyFill="1" applyBorder="1" applyAlignment="1" applyProtection="1">
      <alignment wrapText="1"/>
      <protection locked="0"/>
    </xf>
    <xf numFmtId="2" fontId="9" fillId="0" borderId="7" xfId="0" applyNumberFormat="1" applyFont="1" applyBorder="1" applyAlignment="1">
      <alignment wrapText="1"/>
    </xf>
    <xf numFmtId="2" fontId="9" fillId="3" borderId="7" xfId="0" applyNumberFormat="1" applyFont="1" applyFill="1" applyBorder="1" applyAlignment="1" applyProtection="1">
      <alignment wrapText="1"/>
      <protection locked="0"/>
    </xf>
    <xf numFmtId="0" fontId="10" fillId="0" borderId="7" xfId="0" applyFont="1" applyBorder="1" applyAlignment="1">
      <alignment wrapText="1"/>
    </xf>
    <xf numFmtId="2" fontId="10" fillId="0" borderId="7" xfId="0" applyNumberFormat="1" applyFont="1" applyBorder="1" applyAlignment="1">
      <alignment wrapText="1"/>
    </xf>
    <xf numFmtId="0" fontId="11" fillId="0" borderId="9" xfId="0" applyFont="1" applyBorder="1" applyAlignment="1">
      <alignment wrapText="1"/>
    </xf>
    <xf numFmtId="2" fontId="6" fillId="0" borderId="9" xfId="0" applyNumberFormat="1" applyFont="1" applyBorder="1" applyAlignment="1">
      <alignment wrapText="1"/>
    </xf>
    <xf numFmtId="2" fontId="11" fillId="0" borderId="9" xfId="0" applyNumberFormat="1" applyFont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justify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Fill="1"/>
    <xf numFmtId="0" fontId="12" fillId="0" borderId="0" xfId="0" applyFont="1" applyFill="1" applyAlignment="1"/>
    <xf numFmtId="0" fontId="12" fillId="0" borderId="0" xfId="0" applyFont="1" applyFill="1" applyAlignment="1">
      <alignment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justify"/>
    </xf>
    <xf numFmtId="10" fontId="5" fillId="0" borderId="4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4" fillId="0" borderId="11" xfId="0" applyFont="1" applyFill="1" applyBorder="1" applyAlignment="1">
      <alignment wrapText="1"/>
    </xf>
    <xf numFmtId="2" fontId="10" fillId="0" borderId="12" xfId="0" applyNumberFormat="1" applyFont="1" applyBorder="1" applyAlignment="1">
      <alignment wrapText="1"/>
    </xf>
    <xf numFmtId="2" fontId="10" fillId="0" borderId="13" xfId="0" applyNumberFormat="1" applyFont="1" applyBorder="1" applyAlignment="1">
      <alignment wrapText="1"/>
    </xf>
    <xf numFmtId="0" fontId="4" fillId="0" borderId="14" xfId="0" applyFont="1" applyBorder="1" applyAlignment="1">
      <alignment vertical="center"/>
    </xf>
    <xf numFmtId="2" fontId="14" fillId="0" borderId="15" xfId="0" applyNumberFormat="1" applyFont="1" applyBorder="1" applyAlignment="1">
      <alignment vertical="center"/>
    </xf>
    <xf numFmtId="2" fontId="4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5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178" fontId="16" fillId="0" borderId="0" xfId="0" applyNumberFormat="1" applyFont="1" applyBorder="1" applyAlignment="1" applyProtection="1">
      <alignment horizontal="center" vertical="center"/>
    </xf>
    <xf numFmtId="178" fontId="17" fillId="0" borderId="0" xfId="0" applyNumberFormat="1" applyFont="1" applyBorder="1" applyAlignment="1" applyProtection="1">
      <alignment horizontal="center" vertical="center"/>
    </xf>
    <xf numFmtId="178" fontId="18" fillId="0" borderId="17" xfId="0" applyNumberFormat="1" applyFont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center" vertical="center"/>
    </xf>
    <xf numFmtId="178" fontId="20" fillId="0" borderId="17" xfId="0" applyNumberFormat="1" applyFont="1" applyBorder="1" applyAlignment="1" applyProtection="1">
      <alignment horizontal="left" vertical="center"/>
    </xf>
    <xf numFmtId="0" fontId="21" fillId="2" borderId="18" xfId="0" applyFont="1" applyFill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</xf>
    <xf numFmtId="0" fontId="21" fillId="2" borderId="19" xfId="0" applyFont="1" applyFill="1" applyBorder="1" applyAlignment="1" applyProtection="1">
      <alignment horizontal="center" vertical="center"/>
    </xf>
    <xf numFmtId="1" fontId="22" fillId="5" borderId="18" xfId="0" applyNumberFormat="1" applyFont="1" applyFill="1" applyBorder="1" applyAlignment="1" applyProtection="1">
      <alignment horizontal="center" vertical="center"/>
    </xf>
    <xf numFmtId="1" fontId="22" fillId="5" borderId="19" xfId="0" applyNumberFormat="1" applyFont="1" applyFill="1" applyBorder="1" applyAlignment="1" applyProtection="1">
      <alignment horizontal="left" vertical="center"/>
    </xf>
    <xf numFmtId="177" fontId="22" fillId="5" borderId="19" xfId="0" applyNumberFormat="1" applyFont="1" applyFill="1" applyBorder="1" applyAlignment="1" applyProtection="1">
      <alignment horizontal="center" vertical="center"/>
    </xf>
    <xf numFmtId="10" fontId="23" fillId="5" borderId="19" xfId="2" applyNumberFormat="1" applyFont="1" applyFill="1" applyBorder="1" applyAlignment="1" applyProtection="1">
      <alignment horizontal="center" vertical="center"/>
    </xf>
    <xf numFmtId="4" fontId="22" fillId="5" borderId="19" xfId="2" applyNumberFormat="1" applyFont="1" applyFill="1" applyBorder="1" applyAlignment="1" applyProtection="1">
      <alignment horizontal="center" vertical="center"/>
    </xf>
    <xf numFmtId="1" fontId="24" fillId="0" borderId="18" xfId="0" applyNumberFormat="1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left" vertical="center"/>
    </xf>
    <xf numFmtId="177" fontId="24" fillId="0" borderId="19" xfId="0" applyNumberFormat="1" applyFont="1" applyBorder="1" applyAlignment="1" applyProtection="1">
      <alignment horizontal="center" vertical="center"/>
    </xf>
    <xf numFmtId="10" fontId="23" fillId="0" borderId="19" xfId="2" applyNumberFormat="1" applyFont="1" applyFill="1" applyBorder="1" applyAlignment="1" applyProtection="1">
      <alignment horizontal="center" vertical="center"/>
    </xf>
    <xf numFmtId="10" fontId="24" fillId="0" borderId="19" xfId="2" applyNumberFormat="1" applyFont="1" applyFill="1" applyBorder="1" applyAlignment="1" applyProtection="1">
      <alignment horizontal="center" vertical="center"/>
      <protection locked="0"/>
    </xf>
    <xf numFmtId="1" fontId="24" fillId="0" borderId="18" xfId="0" applyNumberFormat="1" applyFont="1" applyFill="1" applyBorder="1" applyAlignment="1" applyProtection="1">
      <alignment horizontal="center" vertical="center"/>
    </xf>
    <xf numFmtId="177" fontId="24" fillId="0" borderId="19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Border="1" applyAlignment="1" applyProtection="1">
      <alignment horizontal="left" vertical="center"/>
    </xf>
    <xf numFmtId="0" fontId="22" fillId="2" borderId="20" xfId="0" applyFont="1" applyFill="1" applyBorder="1" applyAlignment="1" applyProtection="1">
      <alignment horizontal="center" vertical="center"/>
    </xf>
    <xf numFmtId="0" fontId="19" fillId="2" borderId="21" xfId="0" applyFont="1" applyFill="1" applyBorder="1" applyAlignment="1" applyProtection="1">
      <alignment horizontal="left" vertical="center"/>
    </xf>
    <xf numFmtId="177" fontId="19" fillId="2" borderId="21" xfId="2" applyNumberFormat="1" applyFont="1" applyFill="1" applyBorder="1" applyAlignment="1" applyProtection="1">
      <alignment horizontal="center" vertical="center"/>
    </xf>
    <xf numFmtId="10" fontId="19" fillId="2" borderId="21" xfId="2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176" fontId="22" fillId="0" borderId="0" xfId="2" applyFont="1" applyFill="1" applyBorder="1" applyAlignment="1" applyProtection="1">
      <alignment vertical="center"/>
    </xf>
    <xf numFmtId="0" fontId="22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176" fontId="26" fillId="0" borderId="0" xfId="2" applyFont="1" applyFill="1" applyBorder="1" applyAlignment="1" applyProtection="1">
      <alignment vertical="center"/>
    </xf>
    <xf numFmtId="176" fontId="27" fillId="0" borderId="0" xfId="2" applyFont="1" applyFill="1" applyBorder="1" applyAlignment="1" applyProtection="1">
      <alignment vertical="center"/>
    </xf>
    <xf numFmtId="0" fontId="2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0" fontId="0" fillId="0" borderId="0" xfId="0" applyNumberFormat="1" applyFont="1" applyAlignment="1">
      <alignment vertical="center"/>
    </xf>
    <xf numFmtId="177" fontId="22" fillId="0" borderId="0" xfId="0" applyNumberFormat="1" applyFont="1" applyAlignment="1">
      <alignment vertical="center"/>
    </xf>
    <xf numFmtId="0" fontId="21" fillId="2" borderId="22" xfId="0" applyFont="1" applyFill="1" applyBorder="1" applyAlignment="1" applyProtection="1">
      <alignment horizontal="center" vertical="center"/>
    </xf>
    <xf numFmtId="0" fontId="15" fillId="0" borderId="0" xfId="0" applyFont="1" applyAlignment="1">
      <alignment vertical="center"/>
    </xf>
    <xf numFmtId="4" fontId="22" fillId="5" borderId="22" xfId="2" applyNumberFormat="1" applyFont="1" applyFill="1" applyBorder="1" applyAlignment="1" applyProtection="1">
      <alignment horizontal="center" vertical="center"/>
    </xf>
    <xf numFmtId="10" fontId="24" fillId="0" borderId="22" xfId="2" applyNumberFormat="1" applyFont="1" applyFill="1" applyBorder="1" applyAlignment="1" applyProtection="1">
      <alignment horizontal="center" vertical="center"/>
    </xf>
    <xf numFmtId="177" fontId="19" fillId="2" borderId="23" xfId="2" applyNumberFormat="1" applyFont="1" applyFill="1" applyBorder="1" applyAlignment="1" applyProtection="1">
      <alignment horizontal="center" vertical="center"/>
    </xf>
    <xf numFmtId="177" fontId="19" fillId="0" borderId="0" xfId="0" applyNumberFormat="1" applyFont="1" applyBorder="1" applyAlignment="1" applyProtection="1">
      <alignment horizontal="center" vertical="center"/>
    </xf>
    <xf numFmtId="0" fontId="22" fillId="0" borderId="0" xfId="0" applyFont="1" applyAlignment="1">
      <alignment horizontal="right" vertical="center"/>
    </xf>
    <xf numFmtId="178" fontId="22" fillId="0" borderId="0" xfId="0" applyNumberFormat="1" applyFont="1" applyAlignment="1">
      <alignment horizontal="right" vertical="center"/>
    </xf>
    <xf numFmtId="178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10" fontId="0" fillId="0" borderId="0" xfId="0" applyNumberFormat="1" applyFont="1"/>
    <xf numFmtId="2" fontId="0" fillId="0" borderId="0" xfId="0" applyNumberFormat="1" applyFont="1"/>
    <xf numFmtId="0" fontId="30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0" xfId="0" applyFont="1"/>
    <xf numFmtId="0" fontId="0" fillId="0" borderId="0" xfId="0" applyAlignment="1">
      <alignment horizontal="center"/>
    </xf>
    <xf numFmtId="0" fontId="0" fillId="0" borderId="0" xfId="33" applyFont="1"/>
    <xf numFmtId="0" fontId="30" fillId="0" borderId="0" xfId="33" applyFont="1"/>
    <xf numFmtId="4" fontId="32" fillId="0" borderId="0" xfId="0" applyNumberFormat="1" applyFont="1" applyBorder="1" applyAlignment="1">
      <alignment horizontal="center" vertical="center" wrapText="1"/>
    </xf>
    <xf numFmtId="0" fontId="33" fillId="0" borderId="0" xfId="33" applyFont="1" applyAlignment="1"/>
    <xf numFmtId="4" fontId="33" fillId="0" borderId="0" xfId="0" applyNumberFormat="1" applyFont="1" applyBorder="1" applyAlignment="1">
      <alignment horizontal="center" vertical="center" wrapText="1"/>
    </xf>
    <xf numFmtId="4" fontId="34" fillId="0" borderId="0" xfId="0" applyNumberFormat="1" applyFont="1" applyAlignment="1">
      <alignment vertical="center"/>
    </xf>
    <xf numFmtId="4" fontId="35" fillId="0" borderId="0" xfId="33" applyNumberFormat="1" applyFont="1" applyBorder="1" applyAlignment="1">
      <alignment horizontal="center" vertical="center" wrapText="1"/>
    </xf>
    <xf numFmtId="4" fontId="34" fillId="0" borderId="0" xfId="33" applyNumberFormat="1" applyFont="1" applyBorder="1" applyAlignment="1">
      <alignment horizontal="left" vertical="center" wrapText="1"/>
    </xf>
    <xf numFmtId="4" fontId="34" fillId="0" borderId="0" xfId="33" applyNumberFormat="1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4" fontId="34" fillId="0" borderId="0" xfId="33" applyNumberFormat="1" applyFont="1" applyAlignment="1">
      <alignment vertical="center"/>
    </xf>
    <xf numFmtId="4" fontId="34" fillId="0" borderId="0" xfId="33" applyNumberFormat="1" applyFont="1" applyBorder="1" applyAlignment="1">
      <alignment horizontal="center" vertical="center"/>
    </xf>
    <xf numFmtId="4" fontId="34" fillId="0" borderId="0" xfId="33" applyNumberFormat="1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4" fontId="36" fillId="0" borderId="0" xfId="33" applyNumberFormat="1" applyFont="1" applyBorder="1" applyAlignment="1">
      <alignment vertical="center"/>
    </xf>
    <xf numFmtId="4" fontId="34" fillId="0" borderId="0" xfId="33" applyNumberFormat="1" applyFont="1" applyBorder="1" applyAlignment="1">
      <alignment vertical="center"/>
    </xf>
    <xf numFmtId="179" fontId="30" fillId="0" borderId="0" xfId="0" applyNumberFormat="1" applyFont="1" applyAlignment="1">
      <alignment horizontal="left" vertical="center"/>
    </xf>
    <xf numFmtId="0" fontId="34" fillId="6" borderId="19" xfId="0" applyFont="1" applyFill="1" applyBorder="1" applyAlignment="1">
      <alignment horizontal="center" vertical="top" wrapText="1"/>
    </xf>
    <xf numFmtId="180" fontId="34" fillId="6" borderId="19" xfId="2" applyNumberFormat="1" applyFont="1" applyFill="1" applyBorder="1" applyAlignment="1" applyProtection="1">
      <alignment horizontal="center" vertical="center" wrapText="1"/>
    </xf>
    <xf numFmtId="176" fontId="34" fillId="6" borderId="19" xfId="2" applyFont="1" applyFill="1" applyBorder="1" applyAlignment="1" applyProtection="1">
      <alignment horizontal="center" vertical="top" wrapText="1"/>
    </xf>
    <xf numFmtId="176" fontId="34" fillId="6" borderId="19" xfId="2" applyFont="1" applyFill="1" applyBorder="1" applyAlignment="1" applyProtection="1">
      <alignment horizontal="right" vertical="top" wrapText="1"/>
    </xf>
    <xf numFmtId="0" fontId="34" fillId="6" borderId="19" xfId="0" applyFont="1" applyFill="1" applyBorder="1" applyAlignment="1">
      <alignment horizontal="right" vertical="top" wrapText="1"/>
    </xf>
    <xf numFmtId="0" fontId="36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left" vertical="center" wrapText="1" indent="1"/>
    </xf>
    <xf numFmtId="0" fontId="36" fillId="0" borderId="19" xfId="0" applyFont="1" applyFill="1" applyBorder="1" applyAlignment="1">
      <alignment horizontal="center" vertical="center"/>
    </xf>
    <xf numFmtId="2" fontId="36" fillId="0" borderId="19" xfId="2" applyNumberFormat="1" applyFont="1" applyFill="1" applyBorder="1" applyAlignment="1" applyProtection="1">
      <alignment horizontal="center" vertical="center"/>
    </xf>
    <xf numFmtId="178" fontId="30" fillId="0" borderId="19" xfId="0" applyNumberFormat="1" applyFont="1" applyFill="1" applyBorder="1" applyAlignment="1">
      <alignment horizontal="right" vertical="center"/>
    </xf>
    <xf numFmtId="178" fontId="30" fillId="0" borderId="19" xfId="0" applyNumberFormat="1" applyFont="1" applyFill="1" applyBorder="1" applyAlignment="1">
      <alignment horizontal="right" vertical="center" wrapText="1"/>
    </xf>
    <xf numFmtId="181" fontId="37" fillId="0" borderId="19" xfId="51" applyNumberFormat="1" applyFont="1" applyFill="1" applyBorder="1" applyAlignment="1">
      <alignment horizontal="center" vertical="center" wrapText="1"/>
    </xf>
    <xf numFmtId="0" fontId="37" fillId="0" borderId="19" xfId="51" applyFont="1" applyFill="1" applyBorder="1" applyAlignment="1">
      <alignment vertical="center" wrapText="1"/>
    </xf>
    <xf numFmtId="0" fontId="37" fillId="0" borderId="19" xfId="51" applyFont="1" applyFill="1" applyBorder="1" applyAlignment="1">
      <alignment horizontal="center" vertical="center" wrapText="1"/>
    </xf>
    <xf numFmtId="2" fontId="37" fillId="0" borderId="19" xfId="2" applyNumberFormat="1" applyFont="1" applyFill="1" applyBorder="1" applyAlignment="1" applyProtection="1">
      <alignment horizontal="center" vertical="center" wrapText="1"/>
    </xf>
    <xf numFmtId="178" fontId="37" fillId="0" borderId="19" xfId="51" applyNumberFormat="1" applyFont="1" applyFill="1" applyBorder="1" applyAlignment="1">
      <alignment horizontal="righ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81" fontId="30" fillId="0" borderId="19" xfId="0" applyNumberFormat="1" applyFont="1" applyFill="1" applyBorder="1" applyAlignment="1">
      <alignment horizontal="center" vertical="center"/>
    </xf>
    <xf numFmtId="1" fontId="30" fillId="0" borderId="19" xfId="0" applyNumberFormat="1" applyFont="1" applyFill="1" applyBorder="1" applyAlignment="1">
      <alignment horizontal="justify" vertical="center" wrapText="1"/>
    </xf>
    <xf numFmtId="1" fontId="30" fillId="0" borderId="19" xfId="0" applyNumberFormat="1" applyFont="1" applyFill="1" applyBorder="1" applyAlignment="1">
      <alignment horizontal="center" vertical="center"/>
    </xf>
    <xf numFmtId="2" fontId="30" fillId="0" borderId="19" xfId="0" applyNumberFormat="1" applyFont="1" applyFill="1" applyBorder="1" applyAlignment="1">
      <alignment horizontal="center" vertical="center"/>
    </xf>
    <xf numFmtId="178" fontId="30" fillId="0" borderId="19" xfId="2" applyNumberFormat="1" applyFont="1" applyFill="1" applyBorder="1" applyAlignment="1" applyProtection="1">
      <alignment vertical="center"/>
    </xf>
    <xf numFmtId="178" fontId="30" fillId="0" borderId="19" xfId="2" applyNumberFormat="1" applyFont="1" applyFill="1" applyBorder="1" applyAlignment="1" applyProtection="1">
      <alignment horizontal="right" vertical="center" wrapText="1"/>
    </xf>
    <xf numFmtId="0" fontId="38" fillId="0" borderId="19" xfId="0" applyFont="1" applyFill="1" applyBorder="1" applyAlignment="1">
      <alignment horizontal="right" vertical="center" wrapText="1"/>
    </xf>
    <xf numFmtId="178" fontId="34" fillId="0" borderId="19" xfId="0" applyNumberFormat="1" applyFont="1" applyFill="1" applyBorder="1" applyAlignment="1">
      <alignment horizontal="right" vertical="center" wrapText="1"/>
    </xf>
    <xf numFmtId="0" fontId="34" fillId="0" borderId="19" xfId="0" applyNumberFormat="1" applyFont="1" applyFill="1" applyBorder="1" applyAlignment="1">
      <alignment horizontal="center" vertical="center"/>
    </xf>
    <xf numFmtId="176" fontId="34" fillId="0" borderId="24" xfId="2" applyFont="1" applyFill="1" applyBorder="1" applyAlignment="1" applyProtection="1">
      <alignment vertical="center"/>
    </xf>
    <xf numFmtId="0" fontId="31" fillId="0" borderId="19" xfId="0" applyFont="1" applyFill="1" applyBorder="1" applyAlignment="1">
      <alignment horizontal="center" vertical="center"/>
    </xf>
    <xf numFmtId="2" fontId="30" fillId="0" borderId="19" xfId="2" applyNumberFormat="1" applyFont="1" applyFill="1" applyBorder="1" applyAlignment="1" applyProtection="1">
      <alignment horizontal="center" vertical="center"/>
    </xf>
    <xf numFmtId="176" fontId="30" fillId="0" borderId="19" xfId="2" applyFont="1" applyFill="1" applyBorder="1" applyAlignment="1" applyProtection="1">
      <alignment horizontal="right" vertical="center"/>
    </xf>
    <xf numFmtId="181" fontId="37" fillId="0" borderId="25" xfId="51" applyNumberFormat="1" applyFont="1" applyFill="1" applyBorder="1" applyAlignment="1">
      <alignment horizontal="center" vertical="center" wrapText="1"/>
    </xf>
    <xf numFmtId="0" fontId="30" fillId="0" borderId="19" xfId="0" applyNumberFormat="1" applyFont="1" applyFill="1" applyBorder="1" applyAlignment="1">
      <alignment horizontal="center" vertical="center"/>
    </xf>
    <xf numFmtId="178" fontId="30" fillId="0" borderId="19" xfId="2" applyNumberFormat="1" applyFont="1" applyFill="1" applyBorder="1" applyAlignment="1" applyProtection="1">
      <alignment horizontal="right" vertical="center"/>
    </xf>
    <xf numFmtId="1" fontId="30" fillId="0" borderId="19" xfId="0" applyNumberFormat="1" applyFont="1" applyFill="1" applyBorder="1" applyAlignment="1">
      <alignment horizontal="left" vertical="center"/>
    </xf>
    <xf numFmtId="1" fontId="30" fillId="0" borderId="19" xfId="0" applyNumberFormat="1" applyFont="1" applyFill="1" applyBorder="1" applyAlignment="1">
      <alignment horizontal="center" vertical="center" wrapText="1"/>
    </xf>
    <xf numFmtId="2" fontId="30" fillId="0" borderId="19" xfId="2" applyNumberFormat="1" applyFont="1" applyFill="1" applyBorder="1" applyAlignment="1" applyProtection="1">
      <alignment horizontal="center" vertical="center" wrapText="1"/>
    </xf>
    <xf numFmtId="1" fontId="34" fillId="0" borderId="19" xfId="33" applyNumberFormat="1" applyFont="1" applyBorder="1" applyAlignment="1">
      <alignment horizontal="center" vertical="center"/>
    </xf>
    <xf numFmtId="181" fontId="30" fillId="0" borderId="19" xfId="33" applyNumberFormat="1" applyFont="1" applyFill="1" applyBorder="1" applyAlignment="1">
      <alignment horizontal="center" vertical="center"/>
    </xf>
    <xf numFmtId="176" fontId="30" fillId="0" borderId="19" xfId="2" applyFont="1" applyFill="1" applyBorder="1" applyAlignment="1" applyProtection="1">
      <alignment horizontal="right" vertical="center" wrapText="1"/>
    </xf>
    <xf numFmtId="49" fontId="30" fillId="0" borderId="19" xfId="0" applyNumberFormat="1" applyFont="1" applyFill="1" applyBorder="1" applyAlignment="1">
      <alignment horizontal="left" vertical="center"/>
    </xf>
    <xf numFmtId="0" fontId="38" fillId="0" borderId="19" xfId="0" applyFont="1" applyBorder="1" applyAlignment="1">
      <alignment horizontal="right" vertical="center" wrapText="1"/>
    </xf>
    <xf numFmtId="178" fontId="34" fillId="0" borderId="19" xfId="2" applyNumberFormat="1" applyFont="1" applyFill="1" applyBorder="1" applyAlignment="1" applyProtection="1">
      <alignment horizontal="right" vertical="center" wrapText="1"/>
    </xf>
    <xf numFmtId="1" fontId="30" fillId="0" borderId="19" xfId="33" applyNumberFormat="1" applyFont="1" applyFill="1" applyBorder="1" applyAlignment="1">
      <alignment horizontal="center" vertical="center"/>
    </xf>
    <xf numFmtId="178" fontId="34" fillId="0" borderId="19" xfId="53" applyFont="1" applyFill="1" applyBorder="1" applyAlignment="1" applyProtection="1">
      <alignment vertical="center"/>
    </xf>
    <xf numFmtId="0" fontId="30" fillId="0" borderId="19" xfId="33" applyFont="1" applyBorder="1" applyAlignment="1">
      <alignment horizontal="center" vertical="center"/>
    </xf>
    <xf numFmtId="2" fontId="30" fillId="0" borderId="19" xfId="53" applyNumberFormat="1" applyFont="1" applyFill="1" applyBorder="1" applyAlignment="1" applyProtection="1">
      <alignment horizontal="center" vertical="center"/>
    </xf>
    <xf numFmtId="178" fontId="30" fillId="0" borderId="19" xfId="33" applyNumberFormat="1" applyFont="1" applyBorder="1" applyAlignment="1">
      <alignment horizontal="right" vertical="center"/>
    </xf>
    <xf numFmtId="178" fontId="30" fillId="0" borderId="19" xfId="53" applyNumberFormat="1" applyFont="1" applyFill="1" applyBorder="1" applyAlignment="1" applyProtection="1">
      <alignment horizontal="right" vertical="center" wrapText="1"/>
    </xf>
    <xf numFmtId="1" fontId="34" fillId="0" borderId="19" xfId="33" applyNumberFormat="1" applyFont="1" applyFill="1" applyBorder="1" applyAlignment="1">
      <alignment horizontal="center" vertical="center"/>
    </xf>
    <xf numFmtId="1" fontId="30" fillId="0" borderId="19" xfId="33" applyNumberFormat="1" applyFont="1" applyFill="1" applyBorder="1" applyAlignment="1">
      <alignment horizontal="justify" vertical="center" wrapText="1"/>
    </xf>
    <xf numFmtId="2" fontId="30" fillId="0" borderId="19" xfId="33" applyNumberFormat="1" applyFont="1" applyFill="1" applyBorder="1" applyAlignment="1">
      <alignment horizontal="center" vertical="center"/>
    </xf>
    <xf numFmtId="178" fontId="30" fillId="0" borderId="19" xfId="53" applyNumberFormat="1" applyFont="1" applyFill="1" applyBorder="1" applyAlignment="1" applyProtection="1">
      <alignment horizontal="right" vertical="center"/>
    </xf>
    <xf numFmtId="0" fontId="30" fillId="0" borderId="19" xfId="33" applyFont="1" applyFill="1" applyBorder="1" applyAlignment="1">
      <alignment horizontal="justify" wrapText="1"/>
    </xf>
    <xf numFmtId="0" fontId="39" fillId="0" borderId="19" xfId="33" applyFont="1" applyFill="1" applyBorder="1" applyAlignment="1">
      <alignment vertical="center"/>
    </xf>
    <xf numFmtId="1" fontId="40" fillId="0" borderId="19" xfId="33" applyNumberFormat="1" applyFont="1" applyFill="1" applyBorder="1" applyAlignment="1">
      <alignment horizontal="center" vertical="center"/>
    </xf>
    <xf numFmtId="0" fontId="38" fillId="0" borderId="19" xfId="33" applyFont="1" applyFill="1" applyBorder="1" applyAlignment="1">
      <alignment horizontal="right" vertical="center" wrapText="1"/>
    </xf>
    <xf numFmtId="0" fontId="30" fillId="0" borderId="19" xfId="33" applyFont="1" applyFill="1" applyBorder="1" applyAlignment="1">
      <alignment horizontal="center" vertical="center"/>
    </xf>
    <xf numFmtId="2" fontId="41" fillId="0" borderId="19" xfId="53" applyNumberFormat="1" applyFont="1" applyFill="1" applyBorder="1" applyAlignment="1" applyProtection="1">
      <alignment horizontal="center" vertical="center"/>
    </xf>
    <xf numFmtId="178" fontId="34" fillId="0" borderId="19" xfId="53" applyNumberFormat="1" applyFont="1" applyFill="1" applyBorder="1" applyAlignment="1" applyProtection="1">
      <alignment horizontal="right" vertical="center" wrapText="1"/>
    </xf>
    <xf numFmtId="1" fontId="34" fillId="0" borderId="19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176" fontId="34" fillId="0" borderId="19" xfId="2" applyFont="1" applyFill="1" applyBorder="1" applyAlignment="1" applyProtection="1">
      <alignment vertical="center"/>
    </xf>
    <xf numFmtId="0" fontId="30" fillId="0" borderId="19" xfId="0" applyFont="1" applyBorder="1" applyAlignment="1">
      <alignment horizontal="center" vertical="center"/>
    </xf>
    <xf numFmtId="182" fontId="30" fillId="0" borderId="19" xfId="2" applyNumberFormat="1" applyFont="1" applyFill="1" applyBorder="1" applyAlignment="1" applyProtection="1">
      <alignment horizontal="center" vertical="center"/>
    </xf>
    <xf numFmtId="178" fontId="30" fillId="0" borderId="19" xfId="0" applyNumberFormat="1" applyFont="1" applyBorder="1" applyAlignment="1">
      <alignment horizontal="right" vertical="center"/>
    </xf>
    <xf numFmtId="49" fontId="34" fillId="0" borderId="19" xfId="0" applyNumberFormat="1" applyFont="1" applyBorder="1" applyAlignment="1">
      <alignment horizontal="center" vertical="center"/>
    </xf>
    <xf numFmtId="181" fontId="30" fillId="0" borderId="19" xfId="0" applyNumberFormat="1" applyFont="1" applyBorder="1" applyAlignment="1">
      <alignment horizontal="center" vertical="center"/>
    </xf>
    <xf numFmtId="0" fontId="30" fillId="0" borderId="19" xfId="0" applyFont="1" applyBorder="1" applyAlignment="1">
      <alignment horizontal="justify" wrapText="1"/>
    </xf>
    <xf numFmtId="1" fontId="30" fillId="0" borderId="19" xfId="0" applyNumberFormat="1" applyFont="1" applyBorder="1" applyAlignment="1">
      <alignment horizontal="center" vertical="center"/>
    </xf>
    <xf numFmtId="182" fontId="30" fillId="0" borderId="19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182" fontId="41" fillId="0" borderId="19" xfId="2" applyNumberFormat="1" applyFont="1" applyFill="1" applyBorder="1" applyAlignment="1" applyProtection="1">
      <alignment horizontal="center" vertical="center"/>
    </xf>
    <xf numFmtId="176" fontId="34" fillId="0" borderId="19" xfId="2" applyFont="1" applyFill="1" applyBorder="1" applyAlignment="1" applyProtection="1">
      <alignment horizontal="right" vertical="center" wrapText="1"/>
    </xf>
    <xf numFmtId="49" fontId="30" fillId="0" borderId="19" xfId="0" applyNumberFormat="1" applyFont="1" applyBorder="1" applyAlignment="1">
      <alignment horizontal="center" vertical="center"/>
    </xf>
    <xf numFmtId="2" fontId="38" fillId="0" borderId="19" xfId="0" applyNumberFormat="1" applyFont="1" applyFill="1" applyBorder="1" applyAlignment="1">
      <alignment horizontal="right" vertical="center" wrapText="1"/>
    </xf>
    <xf numFmtId="0" fontId="42" fillId="0" borderId="19" xfId="0" applyFont="1" applyBorder="1" applyAlignment="1">
      <alignment horizontal="center" vertical="center"/>
    </xf>
    <xf numFmtId="178" fontId="42" fillId="0" borderId="19" xfId="2" applyNumberFormat="1" applyFont="1" applyFill="1" applyBorder="1" applyAlignment="1" applyProtection="1">
      <alignment horizontal="right" vertical="center"/>
    </xf>
    <xf numFmtId="1" fontId="30" fillId="0" borderId="19" xfId="0" applyNumberFormat="1" applyFont="1" applyBorder="1" applyAlignment="1">
      <alignment horizontal="justify" vertical="center" wrapText="1"/>
    </xf>
    <xf numFmtId="0" fontId="30" fillId="0" borderId="19" xfId="0" applyFont="1" applyBorder="1" applyAlignment="1">
      <alignment horizontal="center" vertical="center" wrapText="1"/>
    </xf>
    <xf numFmtId="0" fontId="0" fillId="0" borderId="0" xfId="0" applyNumberFormat="1"/>
    <xf numFmtId="2" fontId="30" fillId="0" borderId="19" xfId="0" applyNumberFormat="1" applyFont="1" applyBorder="1" applyAlignment="1">
      <alignment horizontal="center" vertical="center"/>
    </xf>
    <xf numFmtId="0" fontId="39" fillId="0" borderId="19" xfId="0" applyFont="1" applyBorder="1" applyAlignment="1">
      <alignment vertical="center"/>
    </xf>
    <xf numFmtId="49" fontId="34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vertical="center" wrapText="1"/>
    </xf>
    <xf numFmtId="178" fontId="34" fillId="7" borderId="19" xfId="2" applyNumberFormat="1" applyFont="1" applyFill="1" applyBorder="1" applyAlignment="1" applyProtection="1">
      <alignment horizontal="right" vertical="center" wrapText="1"/>
    </xf>
    <xf numFmtId="49" fontId="30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182" fontId="30" fillId="0" borderId="19" xfId="2" applyNumberFormat="1" applyFont="1" applyFill="1" applyBorder="1" applyAlignment="1" applyProtection="1">
      <alignment horizontal="center" vertical="center" wrapText="1"/>
    </xf>
    <xf numFmtId="178" fontId="30" fillId="7" borderId="19" xfId="0" applyNumberFormat="1" applyFont="1" applyFill="1" applyBorder="1" applyAlignment="1">
      <alignment horizontal="right" vertical="center" wrapText="1"/>
    </xf>
    <xf numFmtId="178" fontId="34" fillId="7" borderId="19" xfId="0" applyNumberFormat="1" applyFont="1" applyFill="1" applyBorder="1" applyAlignment="1">
      <alignment horizontal="right" vertical="center" wrapText="1"/>
    </xf>
    <xf numFmtId="178" fontId="35" fillId="0" borderId="19" xfId="0" applyNumberFormat="1" applyFont="1" applyFill="1" applyBorder="1" applyAlignment="1">
      <alignment horizontal="right" vertical="center" wrapText="1"/>
    </xf>
    <xf numFmtId="0" fontId="43" fillId="0" borderId="0" xfId="0" applyFont="1" applyAlignment="1">
      <alignment horizontal="right"/>
    </xf>
    <xf numFmtId="4" fontId="0" fillId="0" borderId="0" xfId="0" applyNumberFormat="1"/>
  </cellXfs>
  <cellStyles count="54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Normal_EPAR, EEE01 e LR_EEE01" xfId="10"/>
    <cellStyle name="Hyperlink" xfId="11" builtinId="8"/>
    <cellStyle name="60% - Accent4" xfId="12" builtinId="44"/>
    <cellStyle name="Followed Hyperlink" xfId="13" builtinId="9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Normal 2" xfId="33"/>
    <cellStyle name="20% - Accent5" xfId="34" builtinId="46"/>
    <cellStyle name="60% - Accent1" xfId="35" builtinId="32"/>
    <cellStyle name="Vírgula 2" xfId="36"/>
    <cellStyle name="Accent2" xfId="37" builtinId="33"/>
    <cellStyle name="20% - Accent2" xfId="38" builtinId="34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Normal_Plan1" xfId="51"/>
    <cellStyle name="60% - Accent6" xfId="52" builtinId="52"/>
    <cellStyle name="Separador de milhares 2" xfId="5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99CC00"/>
      <color rgb="00FFFFFF"/>
      <color rgb="00FFFF99"/>
      <color rgb="00CCFFFF"/>
      <color rgb="00B3B3B3"/>
      <color rgb="00000080"/>
      <color rgb="00FF0000"/>
      <color rgb="00C0C0C0"/>
      <color rgb="00E6E6E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86360</xdr:colOff>
      <xdr:row>28</xdr:row>
      <xdr:rowOff>29210</xdr:rowOff>
    </xdr:from>
    <xdr:to>
      <xdr:col>3</xdr:col>
      <xdr:colOff>1351280</xdr:colOff>
      <xdr:row>31</xdr:row>
      <xdr:rowOff>74930</xdr:rowOff>
    </xdr:to>
    <xdr:pic>
      <xdr:nvPicPr>
        <xdr:cNvPr id="3082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6360" y="6843395"/>
          <a:ext cx="6417945" cy="6457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86"/>
  <sheetViews>
    <sheetView tabSelected="1" view="pageBreakPreview" zoomScale="80" zoomScaleNormal="90" zoomScaleSheetLayoutView="80" workbookViewId="0">
      <selection activeCell="K8" sqref="K8"/>
    </sheetView>
  </sheetViews>
  <sheetFormatPr defaultColWidth="9.14285714285714" defaultRowHeight="12.75"/>
  <cols>
    <col min="1" max="1" width="5.71428571428571"/>
    <col min="2" max="2" width="10.4190476190476"/>
    <col min="3" max="3" width="116.714285714286"/>
    <col min="4" max="4" width="7.71428571428571"/>
    <col min="5" max="5" width="10.7142857142857" style="113"/>
    <col min="6" max="6" width="16.2857142857143"/>
    <col min="7" max="7" width="19.7142857142857"/>
    <col min="8" max="16384" width="8.97142857142857"/>
  </cols>
  <sheetData>
    <row r="1" ht="30" customHeight="1" spans="1:7">
      <c r="A1" s="114"/>
      <c r="B1" s="115"/>
      <c r="C1" s="116"/>
      <c r="D1" s="116"/>
      <c r="E1" s="116"/>
      <c r="F1" s="116"/>
      <c r="G1" s="117"/>
    </row>
    <row r="2" ht="30" customHeight="1" spans="1:9">
      <c r="A2" s="114"/>
      <c r="B2" s="115"/>
      <c r="C2" s="118"/>
      <c r="D2" s="118"/>
      <c r="E2" s="118"/>
      <c r="F2" s="118"/>
      <c r="G2" s="119"/>
      <c r="H2" s="119"/>
      <c r="I2" s="119"/>
    </row>
    <row r="3" ht="15.85" customHeight="1" spans="1:7">
      <c r="A3" s="120"/>
      <c r="B3" s="120"/>
      <c r="C3" s="120"/>
      <c r="D3" s="120"/>
      <c r="E3" s="120"/>
      <c r="F3" s="120"/>
      <c r="G3" s="120"/>
    </row>
    <row r="4" ht="15" customHeight="1" spans="1:6">
      <c r="A4" s="121" t="s">
        <v>0</v>
      </c>
      <c r="B4" s="121"/>
      <c r="C4" s="121"/>
      <c r="D4" s="121"/>
      <c r="E4" s="122"/>
      <c r="F4" s="122"/>
    </row>
    <row r="5" customHeight="1" spans="1:7">
      <c r="A5" s="123" t="s">
        <v>1</v>
      </c>
      <c r="B5" s="124"/>
      <c r="C5" s="125"/>
      <c r="D5" s="125"/>
      <c r="E5" s="125"/>
      <c r="F5" s="126"/>
      <c r="G5" s="124"/>
    </row>
    <row r="6" customHeight="1" spans="1:7">
      <c r="A6" s="127" t="s">
        <v>2</v>
      </c>
      <c r="B6" s="124"/>
      <c r="C6" s="128" t="s">
        <v>3</v>
      </c>
      <c r="D6" s="129"/>
      <c r="E6" s="125"/>
      <c r="F6" s="126"/>
      <c r="G6" s="130"/>
    </row>
    <row r="7" customHeight="1" spans="1:7">
      <c r="A7" s="131" t="s">
        <v>4</v>
      </c>
      <c r="B7" s="131" t="s">
        <v>5</v>
      </c>
      <c r="C7" s="131" t="s">
        <v>6</v>
      </c>
      <c r="D7" s="131" t="s">
        <v>7</v>
      </c>
      <c r="E7" s="132" t="s">
        <v>8</v>
      </c>
      <c r="F7" s="133" t="s">
        <v>9</v>
      </c>
      <c r="G7" s="133"/>
    </row>
    <row r="8" customHeight="1" spans="1:7">
      <c r="A8" s="131"/>
      <c r="B8" s="131"/>
      <c r="C8" s="131"/>
      <c r="D8" s="131"/>
      <c r="E8" s="132"/>
      <c r="F8" s="134" t="s">
        <v>10</v>
      </c>
      <c r="G8" s="135" t="s">
        <v>11</v>
      </c>
    </row>
    <row r="9" customHeight="1" spans="1:7">
      <c r="A9" s="136">
        <v>1</v>
      </c>
      <c r="B9" s="136"/>
      <c r="C9" s="137" t="s">
        <v>12</v>
      </c>
      <c r="D9" s="138"/>
      <c r="E9" s="139"/>
      <c r="F9" s="140"/>
      <c r="G9" s="141"/>
    </row>
    <row r="10" customHeight="1" spans="1:9">
      <c r="A10" s="142"/>
      <c r="B10" s="142">
        <v>40400</v>
      </c>
      <c r="C10" s="143" t="s">
        <v>13</v>
      </c>
      <c r="D10" s="144" t="s">
        <v>14</v>
      </c>
      <c r="E10" s="145">
        <v>451</v>
      </c>
      <c r="F10" s="146">
        <v>8.81</v>
      </c>
      <c r="G10" s="141">
        <f ca="1">E10*F10</f>
        <v>3973.31</v>
      </c>
      <c r="I10" s="210">
        <f ca="1">(4.3*4.3*2.3)+(16.14*(1.5+0.6+0.6))+(4.3*4.3*2.8)+(3.6*(1.5+0.6+0.6))+(69.9*(2.5+0.6+0.6))+(8.8*(3.9+0.6+0.6))</f>
        <v>451.107</v>
      </c>
    </row>
    <row r="11" customHeight="1" spans="1:9">
      <c r="A11" s="147"/>
      <c r="B11" s="148">
        <v>40900</v>
      </c>
      <c r="C11" s="149" t="s">
        <v>15</v>
      </c>
      <c r="D11" s="150" t="s">
        <v>14</v>
      </c>
      <c r="E11" s="151">
        <f ca="1">180.5*1.3</f>
        <v>234.65</v>
      </c>
      <c r="F11" s="152">
        <v>10.27</v>
      </c>
      <c r="G11" s="153">
        <f ca="1">E11*F11</f>
        <v>2409.8555</v>
      </c>
      <c r="I11" s="210">
        <f ca="1">I10-I12</f>
        <v>180.552</v>
      </c>
    </row>
    <row r="12" customHeight="1" spans="1:9">
      <c r="A12" s="142"/>
      <c r="B12" s="142">
        <v>41500</v>
      </c>
      <c r="C12" s="143" t="s">
        <v>16</v>
      </c>
      <c r="D12" s="144" t="s">
        <v>14</v>
      </c>
      <c r="E12" s="145">
        <f ca="1">270.5*1.3</f>
        <v>351.65</v>
      </c>
      <c r="F12" s="146">
        <v>8.91</v>
      </c>
      <c r="G12" s="141">
        <f ca="1">E12*F12</f>
        <v>3133.2015</v>
      </c>
      <c r="I12" s="210">
        <f ca="1">(2.5*2.5*2.3)+(16.14*(1.5))+(2.5*2.5*2.8)+(3.6*(1.5))+(69.9*(2.5))+(8.8*(3.9))</f>
        <v>270.555</v>
      </c>
    </row>
    <row r="13" customHeight="1" spans="1:7">
      <c r="A13" s="142"/>
      <c r="B13" s="142">
        <v>46000</v>
      </c>
      <c r="C13" s="143" t="s">
        <v>17</v>
      </c>
      <c r="D13" s="144" t="s">
        <v>18</v>
      </c>
      <c r="E13" s="145">
        <f ca="1">E12*15</f>
        <v>5274.75</v>
      </c>
      <c r="F13" s="146">
        <v>1.56</v>
      </c>
      <c r="G13" s="141">
        <f ca="1">E13*F13</f>
        <v>8228.61</v>
      </c>
    </row>
    <row r="14" customHeight="1" spans="1:7">
      <c r="A14" s="142"/>
      <c r="B14" s="142"/>
      <c r="C14" s="154" t="s">
        <v>19</v>
      </c>
      <c r="D14" s="143"/>
      <c r="E14" s="145"/>
      <c r="F14" s="146"/>
      <c r="G14" s="155">
        <f ca="1">SUM(G10:G13)</f>
        <v>17744.977</v>
      </c>
    </row>
    <row r="15" s="109" customFormat="1" customHeight="1" spans="1:7">
      <c r="A15" s="156">
        <v>2</v>
      </c>
      <c r="B15" s="156"/>
      <c r="C15" s="157" t="s">
        <v>20</v>
      </c>
      <c r="D15" s="158"/>
      <c r="E15" s="159"/>
      <c r="F15" s="140"/>
      <c r="G15" s="160"/>
    </row>
    <row r="16" s="110" customFormat="1" hidden="1" customHeight="1" spans="1:7">
      <c r="A16" s="161"/>
      <c r="B16" s="161">
        <v>52000</v>
      </c>
      <c r="C16" s="149" t="s">
        <v>21</v>
      </c>
      <c r="D16" s="162" t="s">
        <v>14</v>
      </c>
      <c r="E16" s="159"/>
      <c r="F16" s="163">
        <v>136.32</v>
      </c>
      <c r="G16" s="160">
        <f ca="1" t="shared" ref="G16:G32" si="0">E16*F16</f>
        <v>0</v>
      </c>
    </row>
    <row r="17" s="109" customFormat="1" hidden="1" customHeight="1" spans="1:7">
      <c r="A17" s="161"/>
      <c r="B17" s="161">
        <v>60200</v>
      </c>
      <c r="C17" s="164" t="s">
        <v>22</v>
      </c>
      <c r="D17" s="165" t="s">
        <v>23</v>
      </c>
      <c r="E17" s="166"/>
      <c r="F17" s="163">
        <v>161.3</v>
      </c>
      <c r="G17" s="160">
        <f ca="1" t="shared" si="0"/>
        <v>0</v>
      </c>
    </row>
    <row r="18" s="110" customFormat="1" customHeight="1" spans="1:7">
      <c r="A18" s="161"/>
      <c r="B18" s="161">
        <v>60300</v>
      </c>
      <c r="C18" s="149" t="s">
        <v>24</v>
      </c>
      <c r="D18" s="162" t="s">
        <v>25</v>
      </c>
      <c r="E18" s="159">
        <v>328</v>
      </c>
      <c r="F18" s="163">
        <v>43.67</v>
      </c>
      <c r="G18" s="160">
        <f ca="1" t="shared" si="0"/>
        <v>14323.76</v>
      </c>
    </row>
    <row r="19" s="110" customFormat="1" hidden="1" customHeight="1" spans="1:9">
      <c r="A19" s="161"/>
      <c r="B19" s="161">
        <v>60400</v>
      </c>
      <c r="C19" s="149" t="s">
        <v>26</v>
      </c>
      <c r="D19" s="162" t="s">
        <v>25</v>
      </c>
      <c r="E19" s="159"/>
      <c r="F19" s="163">
        <v>66.91</v>
      </c>
      <c r="G19" s="160">
        <f ca="1" t="shared" si="0"/>
        <v>0</v>
      </c>
      <c r="I19" s="110">
        <f ca="1">(4.3*2.2*4)+(4.3*2.8*4)+(16.14*2.1*2)+(3.3*2.6*2)+(69.9*2)+(8.8*2)</f>
        <v>328.348</v>
      </c>
    </row>
    <row r="20" s="110" customFormat="1" customHeight="1" spans="1:9">
      <c r="A20" s="161"/>
      <c r="B20" s="161">
        <v>60500</v>
      </c>
      <c r="C20" s="149" t="s">
        <v>27</v>
      </c>
      <c r="D20" s="162" t="s">
        <v>14</v>
      </c>
      <c r="E20" s="159">
        <v>9</v>
      </c>
      <c r="F20" s="163">
        <v>134.57</v>
      </c>
      <c r="G20" s="160">
        <f ca="1" t="shared" si="0"/>
        <v>1211.13</v>
      </c>
      <c r="I20" s="110">
        <f ca="1">(2.9*2.9*0.05*2)+(16.1*1.5*0.1)+(3.6*1.5*0.1)+(108.19*0.05)</f>
        <v>9.2055</v>
      </c>
    </row>
    <row r="21" s="110" customFormat="1" customHeight="1" spans="1:9">
      <c r="A21" s="161"/>
      <c r="B21" s="161">
        <v>61701</v>
      </c>
      <c r="C21" s="149" t="s">
        <v>28</v>
      </c>
      <c r="D21" s="165" t="s">
        <v>23</v>
      </c>
      <c r="E21" s="159">
        <v>20</v>
      </c>
      <c r="F21" s="163">
        <v>625.72</v>
      </c>
      <c r="G21" s="160">
        <f ca="1" t="shared" si="0"/>
        <v>12514.4</v>
      </c>
      <c r="I21" s="110">
        <f ca="1">16.15+3.6</f>
        <v>19.75</v>
      </c>
    </row>
    <row r="22" s="110" customFormat="1" customHeight="1" spans="1:9">
      <c r="A22" s="161"/>
      <c r="B22" s="161">
        <v>61803</v>
      </c>
      <c r="C22" s="149" t="s">
        <v>29</v>
      </c>
      <c r="D22" s="165" t="s">
        <v>30</v>
      </c>
      <c r="E22" s="159">
        <v>2</v>
      </c>
      <c r="F22" s="163">
        <v>6767.61</v>
      </c>
      <c r="G22" s="160">
        <f ca="1" t="shared" si="0"/>
        <v>13535.22</v>
      </c>
      <c r="I22"/>
    </row>
    <row r="23" s="110" customFormat="1" hidden="1" customHeight="1" spans="1:7">
      <c r="A23" s="161"/>
      <c r="B23" s="161">
        <v>61900</v>
      </c>
      <c r="C23" s="149" t="s">
        <v>31</v>
      </c>
      <c r="D23" s="162" t="s">
        <v>23</v>
      </c>
      <c r="E23" s="159"/>
      <c r="F23" s="163">
        <v>678.6</v>
      </c>
      <c r="G23" s="160">
        <f ca="1" t="shared" si="0"/>
        <v>0</v>
      </c>
    </row>
    <row r="24" s="110" customFormat="1" hidden="1" customHeight="1" spans="1:7">
      <c r="A24" s="161"/>
      <c r="B24" s="161">
        <v>62003</v>
      </c>
      <c r="C24" s="149" t="s">
        <v>32</v>
      </c>
      <c r="D24" s="162" t="s">
        <v>30</v>
      </c>
      <c r="E24" s="159"/>
      <c r="F24" s="163">
        <v>90.29</v>
      </c>
      <c r="G24" s="160">
        <f ca="1" t="shared" si="0"/>
        <v>0</v>
      </c>
    </row>
    <row r="25" s="110" customFormat="1" ht="25.7" hidden="1" customHeight="1" spans="1:7">
      <c r="A25" s="161"/>
      <c r="B25" s="161">
        <v>62022</v>
      </c>
      <c r="C25" s="149" t="s">
        <v>33</v>
      </c>
      <c r="D25" s="162" t="s">
        <v>30</v>
      </c>
      <c r="E25" s="159"/>
      <c r="F25" s="163">
        <v>267.3</v>
      </c>
      <c r="G25" s="160">
        <f ca="1" t="shared" si="0"/>
        <v>0</v>
      </c>
    </row>
    <row r="26" s="110" customFormat="1" hidden="1" customHeight="1" spans="1:7">
      <c r="A26" s="161"/>
      <c r="B26" s="161">
        <v>62204</v>
      </c>
      <c r="C26" s="149" t="s">
        <v>34</v>
      </c>
      <c r="D26" s="162" t="s">
        <v>30</v>
      </c>
      <c r="E26" s="159"/>
      <c r="F26" s="163">
        <v>2247.27</v>
      </c>
      <c r="G26" s="160">
        <f ca="1" t="shared" si="0"/>
        <v>0</v>
      </c>
    </row>
    <row r="27" s="111" customFormat="1" hidden="1" customHeight="1" spans="1:7">
      <c r="A27" s="161"/>
      <c r="B27" s="161">
        <v>62205</v>
      </c>
      <c r="C27" s="149" t="s">
        <v>35</v>
      </c>
      <c r="D27" s="162" t="s">
        <v>30</v>
      </c>
      <c r="E27" s="159"/>
      <c r="F27" s="163">
        <v>3213.37</v>
      </c>
      <c r="G27" s="160">
        <f ca="1" t="shared" si="0"/>
        <v>0</v>
      </c>
    </row>
    <row r="28" s="110" customFormat="1" customHeight="1" spans="1:9">
      <c r="A28" s="161"/>
      <c r="B28" s="161">
        <v>81401</v>
      </c>
      <c r="C28" s="149" t="s">
        <v>36</v>
      </c>
      <c r="D28" s="162" t="s">
        <v>37</v>
      </c>
      <c r="E28" s="159">
        <v>436</v>
      </c>
      <c r="F28" s="163">
        <v>66.64</v>
      </c>
      <c r="G28" s="160">
        <f ca="1" t="shared" si="0"/>
        <v>29055.04</v>
      </c>
      <c r="I28" s="110">
        <f ca="1">(92.25*4)+(1*2.1*8)+(4.11*2)+(1.1*2.1*8)+8.4+14.7</f>
        <v>435.6</v>
      </c>
    </row>
    <row r="29" s="110" customFormat="1" customHeight="1" spans="1:9">
      <c r="A29" s="161"/>
      <c r="B29" s="161">
        <v>70900</v>
      </c>
      <c r="C29" s="149" t="s">
        <v>38</v>
      </c>
      <c r="D29" s="162" t="s">
        <v>39</v>
      </c>
      <c r="E29" s="159">
        <f ca="1">I29</f>
        <v>6512.4</v>
      </c>
      <c r="F29" s="163">
        <v>7.97</v>
      </c>
      <c r="G29" s="160">
        <f ca="1" t="shared" si="0"/>
        <v>51903.828</v>
      </c>
      <c r="I29" s="110">
        <f ca="1">I30*80</f>
        <v>6512.4</v>
      </c>
    </row>
    <row r="30" s="110" customFormat="1" customHeight="1" spans="1:9">
      <c r="A30" s="161"/>
      <c r="B30" s="161">
        <v>71700</v>
      </c>
      <c r="C30" s="149" t="s">
        <v>40</v>
      </c>
      <c r="D30" s="162" t="s">
        <v>14</v>
      </c>
      <c r="E30" s="159">
        <f ca="1">I30</f>
        <v>81.405</v>
      </c>
      <c r="F30" s="163">
        <v>327.64</v>
      </c>
      <c r="G30" s="160">
        <f ca="1" t="shared" si="0"/>
        <v>26671.5342</v>
      </c>
      <c r="I30" s="110">
        <f ca="1">((2.9*2.9*0.2*2)+(2.7*1.5*0.2*4))+((2.9*2.9*0.2*2)+(2.7*2.1*0.2*4))+((7.87*2.5)+(29.76*0.2)+(5.25*0.2)+(82.18*0.2*2)+(10*0.2)+(17.52*0.2)+(2.1*1.1*0.2*4))</f>
        <v>81.405</v>
      </c>
    </row>
    <row r="31" hidden="1" customHeight="1" spans="1:7">
      <c r="A31" s="167"/>
      <c r="B31" s="168">
        <v>101601</v>
      </c>
      <c r="C31" s="149" t="s">
        <v>41</v>
      </c>
      <c r="D31" s="165" t="s">
        <v>37</v>
      </c>
      <c r="E31" s="159"/>
      <c r="F31" s="163">
        <v>34.85</v>
      </c>
      <c r="G31" s="169">
        <f ca="1" t="shared" si="0"/>
        <v>0</v>
      </c>
    </row>
    <row r="32" hidden="1" customHeight="1" spans="1:7">
      <c r="A32" s="167"/>
      <c r="B32" s="168">
        <v>101602</v>
      </c>
      <c r="C32" s="149" t="s">
        <v>42</v>
      </c>
      <c r="D32" s="165" t="s">
        <v>23</v>
      </c>
      <c r="E32" s="159"/>
      <c r="F32" s="163">
        <v>10</v>
      </c>
      <c r="G32" s="169">
        <f ca="1" t="shared" si="0"/>
        <v>0</v>
      </c>
    </row>
    <row r="33" s="112" customFormat="1" customHeight="1" spans="1:7">
      <c r="A33" s="170"/>
      <c r="B33" s="170"/>
      <c r="C33" s="171"/>
      <c r="D33" s="158"/>
      <c r="E33" s="159"/>
      <c r="F33" s="163"/>
      <c r="G33" s="172">
        <f ca="1">SUM(G16:G32)</f>
        <v>149214.9122</v>
      </c>
    </row>
    <row r="34" customHeight="1" spans="1:7">
      <c r="A34" s="167">
        <v>3</v>
      </c>
      <c r="B34" s="173"/>
      <c r="C34" s="174" t="s">
        <v>43</v>
      </c>
      <c r="D34" s="175"/>
      <c r="E34" s="176"/>
      <c r="F34" s="177"/>
      <c r="G34" s="178"/>
    </row>
    <row r="35" hidden="1" customHeight="1" spans="1:7">
      <c r="A35" s="179"/>
      <c r="B35" s="168">
        <v>50100</v>
      </c>
      <c r="C35" s="180" t="s">
        <v>44</v>
      </c>
      <c r="D35" s="173" t="s">
        <v>23</v>
      </c>
      <c r="E35" s="181"/>
      <c r="F35" s="182">
        <v>6.61</v>
      </c>
      <c r="G35" s="178">
        <f ca="1" t="shared" ref="G35:G53" si="1">E35*F35</f>
        <v>0</v>
      </c>
    </row>
    <row r="36" customHeight="1" spans="1:9">
      <c r="A36" s="179"/>
      <c r="B36" s="168">
        <v>50300</v>
      </c>
      <c r="C36" s="180" t="s">
        <v>45</v>
      </c>
      <c r="D36" s="173" t="s">
        <v>37</v>
      </c>
      <c r="E36" s="181">
        <v>38</v>
      </c>
      <c r="F36" s="182">
        <v>17.68</v>
      </c>
      <c r="G36" s="178">
        <f ca="1" t="shared" si="1"/>
        <v>671.84</v>
      </c>
      <c r="I36" s="210">
        <f ca="1">38</f>
        <v>38</v>
      </c>
    </row>
    <row r="37" customHeight="1" spans="1:7">
      <c r="A37" s="179"/>
      <c r="B37" s="168">
        <v>50400</v>
      </c>
      <c r="C37" s="180" t="s">
        <v>46</v>
      </c>
      <c r="D37" s="173" t="s">
        <v>37</v>
      </c>
      <c r="E37" s="181">
        <v>36</v>
      </c>
      <c r="F37" s="182">
        <v>15.03</v>
      </c>
      <c r="G37" s="178">
        <f ca="1" t="shared" si="1"/>
        <v>541.08</v>
      </c>
    </row>
    <row r="38" hidden="1" customHeight="1" spans="1:7">
      <c r="A38" s="179"/>
      <c r="B38" s="168">
        <v>51300</v>
      </c>
      <c r="C38" s="180" t="s">
        <v>47</v>
      </c>
      <c r="D38" s="173" t="s">
        <v>14</v>
      </c>
      <c r="E38" s="181"/>
      <c r="F38" s="182">
        <v>295.46</v>
      </c>
      <c r="G38" s="178">
        <f ca="1" t="shared" si="1"/>
        <v>0</v>
      </c>
    </row>
    <row r="39" customHeight="1" spans="1:9">
      <c r="A39" s="179"/>
      <c r="B39" s="168">
        <v>51402</v>
      </c>
      <c r="C39" s="180" t="s">
        <v>48</v>
      </c>
      <c r="D39" s="173" t="s">
        <v>23</v>
      </c>
      <c r="E39" s="181">
        <v>3</v>
      </c>
      <c r="F39" s="182">
        <v>34.07</v>
      </c>
      <c r="G39" s="178">
        <f ca="1" t="shared" si="1"/>
        <v>102.21</v>
      </c>
      <c r="I39" s="210">
        <f ca="1">1.85+0.6+0.6</f>
        <v>3.05</v>
      </c>
    </row>
    <row r="40" customHeight="1" spans="1:9">
      <c r="A40" s="179"/>
      <c r="B40" s="168">
        <v>51902</v>
      </c>
      <c r="C40" s="180" t="s">
        <v>49</v>
      </c>
      <c r="D40" s="173" t="s">
        <v>14</v>
      </c>
      <c r="E40" s="181">
        <v>0.06</v>
      </c>
      <c r="F40" s="182">
        <v>358.27</v>
      </c>
      <c r="G40" s="178">
        <f ca="1" t="shared" si="1"/>
        <v>21.4962</v>
      </c>
      <c r="I40" s="210">
        <f ca="1">3*0.3*0.07</f>
        <v>0.063</v>
      </c>
    </row>
    <row r="41" customHeight="1" spans="1:9">
      <c r="A41" s="179"/>
      <c r="B41" s="168">
        <v>52502</v>
      </c>
      <c r="C41" s="180" t="s">
        <v>50</v>
      </c>
      <c r="D41" s="173" t="s">
        <v>14</v>
      </c>
      <c r="E41" s="181">
        <v>1.8</v>
      </c>
      <c r="F41" s="182">
        <v>785.61</v>
      </c>
      <c r="G41" s="178">
        <f ca="1" t="shared" si="1"/>
        <v>1414.098</v>
      </c>
      <c r="I41" s="210">
        <f ca="1">36*0.05</f>
        <v>1.8</v>
      </c>
    </row>
    <row r="42" customHeight="1" spans="1:7">
      <c r="A42" s="179"/>
      <c r="B42" s="168">
        <v>52600</v>
      </c>
      <c r="C42" s="180" t="s">
        <v>51</v>
      </c>
      <c r="D42" s="173" t="s">
        <v>37</v>
      </c>
      <c r="E42" s="181">
        <v>36</v>
      </c>
      <c r="F42" s="182">
        <v>4.65</v>
      </c>
      <c r="G42" s="178">
        <f ca="1" t="shared" si="1"/>
        <v>167.4</v>
      </c>
    </row>
    <row r="43" customHeight="1" spans="1:7">
      <c r="A43" s="179"/>
      <c r="B43" s="168">
        <v>52700</v>
      </c>
      <c r="C43" s="180" t="s">
        <v>52</v>
      </c>
      <c r="D43" s="173" t="s">
        <v>37</v>
      </c>
      <c r="E43" s="181">
        <v>36</v>
      </c>
      <c r="F43" s="182">
        <v>10.86</v>
      </c>
      <c r="G43" s="178">
        <f ca="1" t="shared" si="1"/>
        <v>390.96</v>
      </c>
    </row>
    <row r="44" customHeight="1" spans="1:9">
      <c r="A44" s="179"/>
      <c r="B44" s="168">
        <v>52800</v>
      </c>
      <c r="C44" s="180" t="s">
        <v>53</v>
      </c>
      <c r="D44" s="173" t="s">
        <v>14</v>
      </c>
      <c r="E44" s="181">
        <v>1.8</v>
      </c>
      <c r="F44" s="182">
        <v>940.49</v>
      </c>
      <c r="G44" s="178">
        <f ca="1" t="shared" si="1"/>
        <v>1692.882</v>
      </c>
      <c r="I44" s="210">
        <f ca="1">36*0.05</f>
        <v>1.8</v>
      </c>
    </row>
    <row r="45" customHeight="1" spans="1:9">
      <c r="A45" s="179"/>
      <c r="B45" s="168">
        <v>54200</v>
      </c>
      <c r="C45" s="183" t="s">
        <v>54</v>
      </c>
      <c r="D45" s="173" t="s">
        <v>14</v>
      </c>
      <c r="E45" s="181">
        <v>2.7</v>
      </c>
      <c r="F45" s="182">
        <v>459.64</v>
      </c>
      <c r="G45" s="178">
        <f ca="1" t="shared" si="1"/>
        <v>1241.028</v>
      </c>
      <c r="I45" s="210">
        <f ca="1">38*0.07</f>
        <v>2.66</v>
      </c>
    </row>
    <row r="46" customHeight="1" spans="1:7">
      <c r="A46" s="179"/>
      <c r="B46" s="168">
        <v>54800</v>
      </c>
      <c r="C46" s="180" t="s">
        <v>55</v>
      </c>
      <c r="D46" s="173" t="s">
        <v>14</v>
      </c>
      <c r="E46" s="181">
        <f ca="1">36*0.1</f>
        <v>3.6</v>
      </c>
      <c r="F46" s="182">
        <v>127.28</v>
      </c>
      <c r="G46" s="178">
        <f ca="1" t="shared" si="1"/>
        <v>458.208</v>
      </c>
    </row>
    <row r="47" customHeight="1" spans="1:7">
      <c r="A47" s="179"/>
      <c r="B47" s="168">
        <v>57801</v>
      </c>
      <c r="C47" s="180" t="s">
        <v>56</v>
      </c>
      <c r="D47" s="173" t="s">
        <v>14</v>
      </c>
      <c r="E47" s="181">
        <v>1.8</v>
      </c>
      <c r="F47" s="182">
        <v>10.88</v>
      </c>
      <c r="G47" s="178">
        <f ca="1" t="shared" si="1"/>
        <v>19.584</v>
      </c>
    </row>
    <row r="48" customHeight="1" spans="1:7">
      <c r="A48" s="179"/>
      <c r="B48" s="168">
        <v>57807</v>
      </c>
      <c r="C48" s="180" t="s">
        <v>57</v>
      </c>
      <c r="D48" s="173" t="s">
        <v>18</v>
      </c>
      <c r="E48" s="181">
        <v>540</v>
      </c>
      <c r="F48" s="182">
        <v>1.92</v>
      </c>
      <c r="G48" s="178">
        <f ca="1" t="shared" si="1"/>
        <v>1036.8</v>
      </c>
    </row>
    <row r="49" customHeight="1" spans="1:7">
      <c r="A49" s="179"/>
      <c r="B49" s="168">
        <v>57901</v>
      </c>
      <c r="C49" s="180" t="s">
        <v>58</v>
      </c>
      <c r="D49" s="173" t="s">
        <v>14</v>
      </c>
      <c r="E49" s="181">
        <v>1.8</v>
      </c>
      <c r="F49" s="182">
        <v>10.88</v>
      </c>
      <c r="G49" s="178">
        <f ca="1" t="shared" si="1"/>
        <v>19.584</v>
      </c>
    </row>
    <row r="50" customHeight="1" spans="1:7">
      <c r="A50" s="179"/>
      <c r="B50" s="168">
        <v>57907</v>
      </c>
      <c r="C50" s="180" t="s">
        <v>59</v>
      </c>
      <c r="D50" s="173" t="s">
        <v>18</v>
      </c>
      <c r="E50" s="181">
        <v>540</v>
      </c>
      <c r="F50" s="182">
        <v>1.92</v>
      </c>
      <c r="G50" s="178">
        <f ca="1" t="shared" si="1"/>
        <v>1036.8</v>
      </c>
    </row>
    <row r="51" hidden="1" customHeight="1" spans="1:7">
      <c r="A51" s="179"/>
      <c r="B51" s="168">
        <v>58100</v>
      </c>
      <c r="C51" s="180" t="s">
        <v>60</v>
      </c>
      <c r="D51" s="173" t="s">
        <v>61</v>
      </c>
      <c r="E51" s="181"/>
      <c r="F51" s="182">
        <v>0.53</v>
      </c>
      <c r="G51" s="178">
        <f ca="1" t="shared" si="1"/>
        <v>0</v>
      </c>
    </row>
    <row r="52" hidden="1" customHeight="1" spans="1:7">
      <c r="A52" s="179"/>
      <c r="B52" s="168">
        <v>58200</v>
      </c>
      <c r="C52" s="180" t="s">
        <v>62</v>
      </c>
      <c r="D52" s="173" t="s">
        <v>63</v>
      </c>
      <c r="E52" s="181"/>
      <c r="F52" s="182">
        <v>0.17</v>
      </c>
      <c r="G52" s="178">
        <f ca="1" t="shared" si="1"/>
        <v>0</v>
      </c>
    </row>
    <row r="53" customHeight="1" spans="1:9">
      <c r="A53" s="179"/>
      <c r="B53" s="168">
        <v>140201</v>
      </c>
      <c r="C53" s="180" t="s">
        <v>64</v>
      </c>
      <c r="D53" s="173" t="s">
        <v>14</v>
      </c>
      <c r="E53" s="181">
        <v>5.4</v>
      </c>
      <c r="F53" s="182">
        <v>96.62</v>
      </c>
      <c r="G53" s="178">
        <f ca="1" t="shared" si="1"/>
        <v>521.748</v>
      </c>
      <c r="I53" s="210">
        <f ca="1">36*0.15</f>
        <v>5.4</v>
      </c>
    </row>
    <row r="54" customHeight="1" spans="1:7">
      <c r="A54" s="184"/>
      <c r="B54" s="185"/>
      <c r="C54" s="186" t="s">
        <v>19</v>
      </c>
      <c r="D54" s="187"/>
      <c r="E54" s="188"/>
      <c r="F54" s="182"/>
      <c r="G54" s="189">
        <f ca="1">SUM(G35:G53)</f>
        <v>9335.7182</v>
      </c>
    </row>
    <row r="55" hidden="1" customHeight="1" spans="1:7">
      <c r="A55" s="190">
        <v>4</v>
      </c>
      <c r="B55" s="191"/>
      <c r="C55" s="192" t="s">
        <v>65</v>
      </c>
      <c r="D55" s="193"/>
      <c r="E55" s="194"/>
      <c r="F55" s="195"/>
      <c r="G55" s="169"/>
    </row>
    <row r="56" hidden="1" customHeight="1" spans="1:7">
      <c r="A56" s="196"/>
      <c r="B56" s="197">
        <v>73500</v>
      </c>
      <c r="C56" s="198" t="s">
        <v>66</v>
      </c>
      <c r="D56" s="199" t="s">
        <v>67</v>
      </c>
      <c r="E56" s="200"/>
      <c r="F56" s="160">
        <v>0.93</v>
      </c>
      <c r="G56" s="169">
        <f ca="1">E56*F56</f>
        <v>0</v>
      </c>
    </row>
    <row r="57" hidden="1" customHeight="1" spans="1:7">
      <c r="A57" s="196"/>
      <c r="B57" s="201"/>
      <c r="C57" s="171" t="s">
        <v>19</v>
      </c>
      <c r="D57" s="193"/>
      <c r="E57" s="202"/>
      <c r="F57" s="160"/>
      <c r="G57" s="203">
        <f ca="1">SUM(G56:G56)</f>
        <v>0</v>
      </c>
    </row>
    <row r="58" customHeight="1" spans="1:7">
      <c r="A58" s="190"/>
      <c r="B58" s="204"/>
      <c r="C58" s="205" t="s">
        <v>68</v>
      </c>
      <c r="D58" s="206"/>
      <c r="E58" s="202"/>
      <c r="F58" s="207"/>
      <c r="G58" s="172">
        <f ca="1">+G14+G33+G54+G57</f>
        <v>176295.6074</v>
      </c>
    </row>
    <row r="59" hidden="1" customHeight="1" spans="1:7">
      <c r="A59" s="190">
        <v>5</v>
      </c>
      <c r="B59" s="204"/>
      <c r="C59" s="192" t="s">
        <v>69</v>
      </c>
      <c r="D59" s="193"/>
      <c r="E59" s="194"/>
      <c r="F59" s="195"/>
      <c r="G59" s="153"/>
    </row>
    <row r="60" hidden="1" customHeight="1" spans="1:7">
      <c r="A60" s="190"/>
      <c r="B60" s="193"/>
      <c r="C60" s="208" t="s">
        <v>70</v>
      </c>
      <c r="D60" s="199" t="s">
        <v>71</v>
      </c>
      <c r="E60" s="200"/>
      <c r="F60" s="163">
        <f ca="1">G58*4%</f>
        <v>7051.824296</v>
      </c>
      <c r="G60" s="153">
        <f ca="1">E60*F60</f>
        <v>0</v>
      </c>
    </row>
    <row r="61" hidden="1" customHeight="1" spans="1:7">
      <c r="A61" s="190"/>
      <c r="B61" s="193"/>
      <c r="C61" s="208" t="s">
        <v>72</v>
      </c>
      <c r="D61" s="199" t="s">
        <v>71</v>
      </c>
      <c r="E61" s="200"/>
      <c r="F61" s="163">
        <f ca="1">G58*2%</f>
        <v>3525.912148</v>
      </c>
      <c r="G61" s="153">
        <f ca="1">E61*F61</f>
        <v>0</v>
      </c>
    </row>
    <row r="62" hidden="1" customHeight="1" spans="1:7">
      <c r="A62" s="196"/>
      <c r="B62" s="201"/>
      <c r="C62" s="154" t="s">
        <v>73</v>
      </c>
      <c r="D62" s="193"/>
      <c r="E62" s="202"/>
      <c r="F62" s="160"/>
      <c r="G62" s="203">
        <f ca="1">SUM(G60:G61)</f>
        <v>0</v>
      </c>
    </row>
    <row r="63" customHeight="1" spans="1:7">
      <c r="A63" s="190">
        <v>6</v>
      </c>
      <c r="B63" s="204"/>
      <c r="C63" s="192" t="s">
        <v>74</v>
      </c>
      <c r="D63" s="193"/>
      <c r="E63" s="194"/>
      <c r="F63" s="195"/>
      <c r="G63" s="153"/>
    </row>
    <row r="64" ht="25.15" customHeight="1" spans="1:7">
      <c r="A64" s="190"/>
      <c r="B64" s="209" t="s">
        <v>75</v>
      </c>
      <c r="C64" s="208" t="s">
        <v>76</v>
      </c>
      <c r="D64" s="199" t="s">
        <v>30</v>
      </c>
      <c r="E64" s="200">
        <v>1</v>
      </c>
      <c r="F64" s="163">
        <v>1864.95</v>
      </c>
      <c r="G64" s="153">
        <f ca="1">E64*F64</f>
        <v>1864.95</v>
      </c>
    </row>
    <row r="65" ht="28.9" customHeight="1" spans="1:7">
      <c r="A65" s="190"/>
      <c r="B65" s="209" t="s">
        <v>77</v>
      </c>
      <c r="C65" s="208" t="s">
        <v>78</v>
      </c>
      <c r="D65" s="199" t="s">
        <v>79</v>
      </c>
      <c r="E65" s="200">
        <v>4</v>
      </c>
      <c r="F65" s="163">
        <v>503.02</v>
      </c>
      <c r="G65" s="153">
        <f ca="1">E65*F65</f>
        <v>2012.08</v>
      </c>
    </row>
    <row r="66" ht="26.5" customHeight="1" spans="1:7">
      <c r="A66" s="190"/>
      <c r="B66" s="209" t="s">
        <v>80</v>
      </c>
      <c r="C66" s="208" t="s">
        <v>81</v>
      </c>
      <c r="D66" s="199" t="s">
        <v>37</v>
      </c>
      <c r="E66" s="211">
        <v>3.38</v>
      </c>
      <c r="F66" s="163">
        <v>175.68</v>
      </c>
      <c r="G66" s="153">
        <f ca="1">E66*F66</f>
        <v>593.7984</v>
      </c>
    </row>
    <row r="67" hidden="1" customHeight="1" spans="1:7">
      <c r="A67" s="212"/>
      <c r="B67" s="197"/>
      <c r="C67" s="208" t="s">
        <v>82</v>
      </c>
      <c r="D67" s="199" t="s">
        <v>83</v>
      </c>
      <c r="E67" s="200"/>
      <c r="F67" s="163">
        <f ca="1">G58*0.005/6</f>
        <v>146.913006166667</v>
      </c>
      <c r="G67" s="153">
        <f ca="1">E67*F67</f>
        <v>0</v>
      </c>
    </row>
    <row r="68" hidden="1" customHeight="1" spans="1:7">
      <c r="A68" s="196"/>
      <c r="B68" s="197"/>
      <c r="C68" s="208" t="s">
        <v>84</v>
      </c>
      <c r="D68" s="199" t="s">
        <v>71</v>
      </c>
      <c r="E68" s="200"/>
      <c r="F68" s="163">
        <f ca="1">G58*0.5%</f>
        <v>881.478037</v>
      </c>
      <c r="G68" s="153">
        <f ca="1">E68*F68</f>
        <v>0</v>
      </c>
    </row>
    <row r="69" customHeight="1" spans="1:7">
      <c r="A69" s="213"/>
      <c r="B69" s="197"/>
      <c r="C69" s="154" t="s">
        <v>85</v>
      </c>
      <c r="D69" s="193"/>
      <c r="E69" s="202"/>
      <c r="F69" s="163"/>
      <c r="G69" s="172">
        <f ca="1">SUM(G64:G67)</f>
        <v>4470.8284</v>
      </c>
    </row>
    <row r="70" hidden="1" customHeight="1" spans="1:7">
      <c r="A70" s="214"/>
      <c r="B70" s="191"/>
      <c r="C70" s="205" t="s">
        <v>86</v>
      </c>
      <c r="D70" s="206"/>
      <c r="E70" s="202"/>
      <c r="F70" s="207"/>
      <c r="G70" s="215">
        <f ca="1">G58+G69+G62</f>
        <v>180766.4358</v>
      </c>
    </row>
    <row r="71" hidden="1" customHeight="1" spans="1:7">
      <c r="A71" s="214"/>
      <c r="B71" s="216"/>
      <c r="C71" s="205" t="s">
        <v>87</v>
      </c>
      <c r="D71" s="217" t="s">
        <v>71</v>
      </c>
      <c r="E71" s="218"/>
      <c r="F71" s="219">
        <f ca="1">G70*10%</f>
        <v>18076.64358</v>
      </c>
      <c r="G71" s="220">
        <f ca="1">E71*F71</f>
        <v>0</v>
      </c>
    </row>
    <row r="72" customHeight="1" spans="1:7">
      <c r="A72" s="214"/>
      <c r="B72" s="214"/>
      <c r="C72" s="205" t="s">
        <v>88</v>
      </c>
      <c r="D72" s="217"/>
      <c r="E72" s="218"/>
      <c r="F72" s="141"/>
      <c r="G72" s="155">
        <f ca="1">G58+G69</f>
        <v>180766.4358</v>
      </c>
    </row>
    <row r="73" hidden="1" customHeight="1" spans="1:7">
      <c r="A73" s="190"/>
      <c r="B73" s="214"/>
      <c r="C73" s="205" t="s">
        <v>89</v>
      </c>
      <c r="D73" s="217" t="s">
        <v>71</v>
      </c>
      <c r="E73" s="218"/>
      <c r="F73" s="141"/>
      <c r="G73" s="220"/>
    </row>
    <row r="74" customHeight="1" spans="1:7">
      <c r="A74" s="156"/>
      <c r="B74" s="214"/>
      <c r="C74" s="205" t="s">
        <v>90</v>
      </c>
      <c r="D74" s="217" t="s">
        <v>71</v>
      </c>
      <c r="E74" s="218">
        <v>1</v>
      </c>
      <c r="F74" s="141">
        <f ca="1">G58*0.25</f>
        <v>44073.90185</v>
      </c>
      <c r="G74" s="155">
        <f ca="1">E74*F74</f>
        <v>44073.90185</v>
      </c>
    </row>
    <row r="75" customHeight="1" spans="1:7">
      <c r="A75" s="161"/>
      <c r="B75" s="214"/>
      <c r="C75" s="205" t="s">
        <v>91</v>
      </c>
      <c r="D75" s="217"/>
      <c r="E75" s="218"/>
      <c r="F75" s="141"/>
      <c r="G75" s="221">
        <f ca="1">G58+G69+G74</f>
        <v>224840.33765</v>
      </c>
    </row>
    <row r="76" customHeight="1"/>
    <row r="77" customHeight="1" spans="7:7">
      <c r="G77" s="222" t="s">
        <v>92</v>
      </c>
    </row>
    <row r="78" customHeight="1" spans="7:7">
      <c r="G78" s="223"/>
    </row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</sheetData>
  <sheetProtection selectLockedCells="1" selectUnlockedCells="1"/>
  <mergeCells count="10">
    <mergeCell ref="C1:F1"/>
    <mergeCell ref="C2:F2"/>
    <mergeCell ref="A3:G3"/>
    <mergeCell ref="A4:D4"/>
    <mergeCell ref="F7:G7"/>
    <mergeCell ref="A7:A8"/>
    <mergeCell ref="B7:B8"/>
    <mergeCell ref="C7:C8"/>
    <mergeCell ref="D7:D8"/>
    <mergeCell ref="E7:E8"/>
  </mergeCells>
  <pageMargins left="0.789583333333333" right="0.789583333333333" top="0.789583333333333" bottom="0.789583333333333" header="0.509722222222222" footer="0.509722222222222"/>
  <pageSetup paperSize="9" scale="58" orientation="landscape" horizontalDpi="300" verticalDpi="300"/>
  <headerFooter alignWithMargins="0" scaleWithDoc="0"/>
  <colBreaks count="1" manualBreakCount="1">
    <brk id="7" max="655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A35"/>
  <sheetViews>
    <sheetView view="pageBreakPreview" zoomScale="80" zoomScaleNormal="90" zoomScaleSheetLayoutView="80" workbookViewId="0">
      <selection activeCell="H38" sqref="H38"/>
    </sheetView>
  </sheetViews>
  <sheetFormatPr defaultColWidth="9.14285714285714" defaultRowHeight="12.75"/>
  <cols>
    <col min="1" max="1" width="9" style="50"/>
    <col min="2" max="2" width="35.8571428571429" style="50"/>
    <col min="3" max="3" width="16.4190476190476" style="50"/>
    <col min="4" max="4" width="8" style="50"/>
    <col min="5" max="6" width="11.4190476190476" style="50"/>
    <col min="7" max="8" width="12.2857142857143" style="50"/>
    <col min="9" max="14" width="9.14285714285714" style="50" hidden="1"/>
    <col min="15" max="15" width="13.7142857142857" style="50"/>
    <col min="16" max="16" width="9" style="51"/>
    <col min="17" max="17" width="9.41904761904762" style="51"/>
    <col min="18" max="18" width="9.28571428571429" style="51"/>
    <col min="19" max="24" width="9.56190476190476" style="51"/>
    <col min="25" max="26" width="9" style="51"/>
    <col min="27" max="27" width="16.1428571428571"/>
  </cols>
  <sheetData>
    <row r="1" ht="23.25" spans="1:15">
      <c r="A1" s="52">
        <f ca="1">orçamento!C1</f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ht="20.25" spans="1:15">
      <c r="A2" s="53">
        <f ca="1">orçamento!C2</f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customHeight="1" spans="1:15">
      <c r="A3" s="54" t="s">
        <v>93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ht="7.15" customHeight="1" spans="1:1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ht="16.75" customHeight="1" spans="1:15">
      <c r="A5" s="56" t="str">
        <f ca="1">orçamento!A4</f>
        <v>OBRA: LIGAÇÃO DA REDE EXISTENTE DO CONDOMÍNIO VILA REAL AO LAGO DO SILVÉRIO COM A CONSTRUÇÃO DE ESCADA HIDRÁULICA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="48" customFormat="1" ht="18.4" customHeight="1" spans="1:26">
      <c r="A6" s="57" t="s">
        <v>4</v>
      </c>
      <c r="B6" s="58" t="s">
        <v>94</v>
      </c>
      <c r="C6" s="59" t="s">
        <v>95</v>
      </c>
      <c r="D6" s="59" t="s">
        <v>96</v>
      </c>
      <c r="E6" s="59" t="s">
        <v>97</v>
      </c>
      <c r="F6" s="59" t="s">
        <v>98</v>
      </c>
      <c r="G6" s="59" t="s">
        <v>99</v>
      </c>
      <c r="H6" s="59" t="s">
        <v>100</v>
      </c>
      <c r="I6" s="59" t="s">
        <v>101</v>
      </c>
      <c r="J6" s="59" t="s">
        <v>102</v>
      </c>
      <c r="K6" s="59" t="s">
        <v>103</v>
      </c>
      <c r="L6" s="59" t="s">
        <v>104</v>
      </c>
      <c r="M6" s="59" t="s">
        <v>105</v>
      </c>
      <c r="N6" s="59" t="s">
        <v>106</v>
      </c>
      <c r="O6" s="96" t="s">
        <v>107</v>
      </c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</row>
    <row r="7" s="49" customFormat="1" spans="1:26">
      <c r="A7" s="60">
        <v>1</v>
      </c>
      <c r="B7" s="61" t="str">
        <f ca="1">orçamento!C9</f>
        <v>MOVIMENTO DE TERRA</v>
      </c>
      <c r="C7" s="62">
        <f ca="1">orçamento!G14*1.25</f>
        <v>22181.22125</v>
      </c>
      <c r="D7" s="63">
        <f ca="1">C7/$C$17</f>
        <v>0.0986532109043913</v>
      </c>
      <c r="E7" s="64">
        <f ca="1">E8*C7</f>
        <v>17744.977</v>
      </c>
      <c r="F7" s="64">
        <f ca="1">F8*C7</f>
        <v>0</v>
      </c>
      <c r="G7" s="64">
        <f ca="1">G8*C7</f>
        <v>4436.24425</v>
      </c>
      <c r="H7" s="64">
        <f ca="1">H8*C7</f>
        <v>0</v>
      </c>
      <c r="I7" s="64">
        <f ca="1">I8*$C$7</f>
        <v>0</v>
      </c>
      <c r="J7" s="64">
        <f ca="1">J8*$C$7</f>
        <v>0</v>
      </c>
      <c r="K7" s="64">
        <f ca="1">K8*$C$7</f>
        <v>0</v>
      </c>
      <c r="L7" s="64">
        <f ca="1">L8*$C$7</f>
        <v>0</v>
      </c>
      <c r="M7" s="64">
        <f ca="1">M8*$C$7</f>
        <v>0</v>
      </c>
      <c r="N7" s="64">
        <f ca="1">N8*$C$7</f>
        <v>0</v>
      </c>
      <c r="O7" s="98">
        <f ca="1" t="shared" ref="O7:O14" si="0">SUM(E7:N7)</f>
        <v>22181.22125</v>
      </c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="49" customFormat="1" spans="1:26">
      <c r="A8" s="65"/>
      <c r="B8" s="66"/>
      <c r="C8" s="67"/>
      <c r="D8" s="68"/>
      <c r="E8" s="69">
        <v>0.8</v>
      </c>
      <c r="F8" s="69"/>
      <c r="G8" s="69">
        <v>0.2</v>
      </c>
      <c r="H8" s="69"/>
      <c r="I8" s="69"/>
      <c r="J8" s="69"/>
      <c r="K8" s="69"/>
      <c r="L8" s="69"/>
      <c r="M8" s="69"/>
      <c r="N8" s="69"/>
      <c r="O8" s="99">
        <f ca="1" t="shared" si="0"/>
        <v>1</v>
      </c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</row>
    <row r="9" s="49" customFormat="1" spans="1:26">
      <c r="A9" s="60">
        <v>2</v>
      </c>
      <c r="B9" s="61" t="str">
        <f ca="1">orçamento!C15</f>
        <v>ESTRUTURAS</v>
      </c>
      <c r="C9" s="62">
        <f ca="1">orçamento!G33*1.25</f>
        <v>186518.64025</v>
      </c>
      <c r="D9" s="63">
        <f ca="1">C9/$C$17</f>
        <v>0.829560399167992</v>
      </c>
      <c r="E9" s="64">
        <f ca="1">E10*C9</f>
        <v>0</v>
      </c>
      <c r="F9" s="64">
        <f ca="1">F10*C9</f>
        <v>46629.6600625</v>
      </c>
      <c r="G9" s="64">
        <f ca="1">G10*C9</f>
        <v>93259.320125</v>
      </c>
      <c r="H9" s="64">
        <f ca="1">H10*C9</f>
        <v>46629.6600625</v>
      </c>
      <c r="I9" s="64">
        <f ca="1">I10*$C$7</f>
        <v>0</v>
      </c>
      <c r="J9" s="64">
        <f ca="1">J10*$C$7</f>
        <v>0</v>
      </c>
      <c r="K9" s="64">
        <f ca="1">K10*$C$7</f>
        <v>0</v>
      </c>
      <c r="L9" s="64">
        <f ca="1">L10*$C$7</f>
        <v>0</v>
      </c>
      <c r="M9" s="64">
        <f ca="1">M10*$C$7</f>
        <v>0</v>
      </c>
      <c r="N9" s="64">
        <f ca="1">N10*$C$7</f>
        <v>0</v>
      </c>
      <c r="O9" s="98">
        <f ca="1" t="shared" si="0"/>
        <v>186518.64025</v>
      </c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</row>
    <row r="10" s="49" customFormat="1" spans="1:26">
      <c r="A10" s="70"/>
      <c r="B10" s="66"/>
      <c r="C10" s="71"/>
      <c r="D10" s="68"/>
      <c r="E10" s="69"/>
      <c r="F10" s="69">
        <v>0.25</v>
      </c>
      <c r="G10" s="69">
        <v>0.5</v>
      </c>
      <c r="H10" s="69">
        <v>0.25</v>
      </c>
      <c r="I10" s="69"/>
      <c r="J10" s="69"/>
      <c r="K10" s="69"/>
      <c r="L10" s="69"/>
      <c r="M10" s="69"/>
      <c r="N10" s="69"/>
      <c r="O10" s="99">
        <f ca="1" t="shared" si="0"/>
        <v>1</v>
      </c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</row>
    <row r="11" s="49" customFormat="1" spans="1:26">
      <c r="A11" s="60">
        <v>3</v>
      </c>
      <c r="B11" s="61" t="str">
        <f ca="1">orçamento!C34</f>
        <v> PAVIMENTAÇÃO</v>
      </c>
      <c r="C11" s="62">
        <f ca="1">orçamento!G54*1.25</f>
        <v>11669.64775</v>
      </c>
      <c r="D11" s="63">
        <f ca="1">C11/$C$17</f>
        <v>0.0519019312636226</v>
      </c>
      <c r="E11" s="64">
        <f ca="1">E12*C11</f>
        <v>0</v>
      </c>
      <c r="F11" s="64">
        <f ca="1">F12*C11</f>
        <v>1750.4471625</v>
      </c>
      <c r="G11" s="64">
        <f ca="1">G12*C11</f>
        <v>0</v>
      </c>
      <c r="H11" s="64">
        <f ca="1">H12*C11</f>
        <v>9919.2005875</v>
      </c>
      <c r="I11" s="64">
        <f ca="1">I12*$C$7</f>
        <v>0</v>
      </c>
      <c r="J11" s="64">
        <f ca="1">J12*$C$7</f>
        <v>0</v>
      </c>
      <c r="K11" s="64">
        <f ca="1">K12*$C$7</f>
        <v>0</v>
      </c>
      <c r="L11" s="64">
        <f ca="1">L12*$C$7</f>
        <v>0</v>
      </c>
      <c r="M11" s="64">
        <f ca="1">M12*$C$7</f>
        <v>0</v>
      </c>
      <c r="N11" s="64">
        <f ca="1">N12*$C$7</f>
        <v>0</v>
      </c>
      <c r="O11" s="98">
        <f ca="1" t="shared" si="0"/>
        <v>11669.64775</v>
      </c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="49" customFormat="1" spans="1:26">
      <c r="A12" s="70"/>
      <c r="B12" s="66"/>
      <c r="C12" s="71"/>
      <c r="D12" s="68"/>
      <c r="E12" s="69"/>
      <c r="F12" s="69">
        <v>0.15</v>
      </c>
      <c r="G12" s="69"/>
      <c r="H12" s="69">
        <v>0.85</v>
      </c>
      <c r="I12" s="69"/>
      <c r="J12" s="69"/>
      <c r="K12" s="69"/>
      <c r="L12" s="69"/>
      <c r="M12" s="69"/>
      <c r="N12" s="69"/>
      <c r="O12" s="99">
        <f ca="1" t="shared" si="0"/>
        <v>1</v>
      </c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</row>
    <row r="13" s="49" customFormat="1" spans="1:26">
      <c r="A13" s="60">
        <v>4</v>
      </c>
      <c r="B13" s="61" t="str">
        <f ca="1">orçamento!C63</f>
        <v>CANTEIRO DE OBRAS</v>
      </c>
      <c r="C13" s="62">
        <f ca="1">orçamento!G69</f>
        <v>4470.8284</v>
      </c>
      <c r="D13" s="63">
        <f ca="1">C13/$C$17</f>
        <v>0.0198844586639945</v>
      </c>
      <c r="E13" s="64">
        <f ca="1">E14*C13</f>
        <v>2861.330176</v>
      </c>
      <c r="F13" s="64">
        <f ca="1">F14*C13</f>
        <v>536.499408</v>
      </c>
      <c r="G13" s="64">
        <f ca="1">G14*C13</f>
        <v>536.499408</v>
      </c>
      <c r="H13" s="64">
        <f ca="1">H14*C13</f>
        <v>536.499408</v>
      </c>
      <c r="I13" s="64">
        <f ca="1">I14*$C$7</f>
        <v>0</v>
      </c>
      <c r="J13" s="64">
        <f ca="1">J14*$C$7</f>
        <v>0</v>
      </c>
      <c r="K13" s="64">
        <f ca="1">K14*$C$7</f>
        <v>0</v>
      </c>
      <c r="L13" s="64">
        <f ca="1">L14*$C$7</f>
        <v>0</v>
      </c>
      <c r="M13" s="64">
        <f ca="1">M14*$C$7</f>
        <v>0</v>
      </c>
      <c r="N13" s="64">
        <f ca="1">N14*$C$7</f>
        <v>0</v>
      </c>
      <c r="O13" s="98">
        <f ca="1" t="shared" si="0"/>
        <v>4470.8284</v>
      </c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</row>
    <row r="14" s="49" customFormat="1" spans="1:26">
      <c r="A14" s="70"/>
      <c r="B14" s="66"/>
      <c r="C14" s="71"/>
      <c r="D14" s="68"/>
      <c r="E14" s="69">
        <v>0.64</v>
      </c>
      <c r="F14" s="69">
        <v>0.12</v>
      </c>
      <c r="G14" s="69">
        <v>0.12</v>
      </c>
      <c r="H14" s="69">
        <v>0.12</v>
      </c>
      <c r="I14" s="69"/>
      <c r="J14" s="69"/>
      <c r="K14" s="69"/>
      <c r="L14" s="69"/>
      <c r="M14" s="69"/>
      <c r="N14" s="69"/>
      <c r="O14" s="99">
        <f ca="1" t="shared" si="0"/>
        <v>1</v>
      </c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</row>
    <row r="15" s="49" customFormat="1" hidden="1" spans="1:26">
      <c r="A15" s="60"/>
      <c r="B15" s="61"/>
      <c r="C15" s="62"/>
      <c r="D15" s="63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98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</row>
    <row r="16" s="49" customFormat="1" hidden="1" spans="1:26">
      <c r="A16" s="65"/>
      <c r="B16" s="72"/>
      <c r="C16" s="71"/>
      <c r="D16" s="68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99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="49" customFormat="1" spans="1:27">
      <c r="A17" s="73"/>
      <c r="B17" s="74" t="s">
        <v>108</v>
      </c>
      <c r="C17" s="75">
        <f ca="1" t="shared" ref="C17:O17" si="1">C15+C13+C11+C9+C7</f>
        <v>224840.33765</v>
      </c>
      <c r="D17" s="76">
        <f ca="1" t="shared" si="1"/>
        <v>1</v>
      </c>
      <c r="E17" s="75">
        <f ca="1" t="shared" si="1"/>
        <v>20606.307176</v>
      </c>
      <c r="F17" s="75">
        <f ca="1" t="shared" si="1"/>
        <v>48916.606633</v>
      </c>
      <c r="G17" s="75">
        <f ca="1" t="shared" si="1"/>
        <v>98232.063783</v>
      </c>
      <c r="H17" s="75">
        <f ca="1" t="shared" si="1"/>
        <v>57085.360058</v>
      </c>
      <c r="I17" s="75">
        <f ca="1" t="shared" si="1"/>
        <v>0</v>
      </c>
      <c r="J17" s="75">
        <f ca="1" t="shared" si="1"/>
        <v>0</v>
      </c>
      <c r="K17" s="75">
        <f ca="1" t="shared" si="1"/>
        <v>0</v>
      </c>
      <c r="L17" s="75">
        <f ca="1" t="shared" si="1"/>
        <v>0</v>
      </c>
      <c r="M17" s="75">
        <f ca="1" t="shared" si="1"/>
        <v>0</v>
      </c>
      <c r="N17" s="75">
        <f ca="1" t="shared" si="1"/>
        <v>0</v>
      </c>
      <c r="O17" s="100">
        <f ca="1" t="shared" si="1"/>
        <v>224840.33765</v>
      </c>
      <c r="P17" s="50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107"/>
    </row>
    <row r="18" s="49" customFormat="1" spans="1:27">
      <c r="A18" s="77"/>
      <c r="B18" s="78"/>
      <c r="C18" s="79"/>
      <c r="D18" s="79"/>
      <c r="E18" s="78"/>
      <c r="F18" s="80"/>
      <c r="G18" s="80"/>
      <c r="H18" s="80"/>
      <c r="I18" s="80"/>
      <c r="J18" s="80"/>
      <c r="K18" s="80"/>
      <c r="L18" s="80"/>
      <c r="M18" s="80"/>
      <c r="N18" s="80"/>
      <c r="O18" s="101"/>
      <c r="P18" s="50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8"/>
    </row>
    <row r="19" s="49" customFormat="1" spans="1:26">
      <c r="A19" s="81" t="s">
        <v>109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102" t="str">
        <f ca="1">orçamento!G77</f>
        <v>Jahu, 03 de Dezembro de 2019</v>
      </c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="49" customFormat="1" spans="1:26">
      <c r="A20" s="78"/>
      <c r="B20" s="78"/>
      <c r="C20" s="78"/>
      <c r="D20" s="82"/>
      <c r="E20" s="83"/>
      <c r="F20" s="82"/>
      <c r="G20" s="82"/>
      <c r="H20" s="82"/>
      <c r="I20" s="82"/>
      <c r="J20" s="82"/>
      <c r="K20" s="82"/>
      <c r="L20" s="82"/>
      <c r="M20" s="82"/>
      <c r="N20" s="82"/>
      <c r="O20" s="103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s="49" customFormat="1" spans="1:26">
      <c r="A21" s="84"/>
      <c r="B21" s="85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</row>
    <row r="22" s="49" customFormat="1" ht="14.4" customHeight="1" spans="1:26">
      <c r="A22" s="84"/>
      <c r="B22" s="86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</row>
    <row r="23" s="49" customFormat="1" ht="15.75" spans="1:26">
      <c r="A23" s="84"/>
      <c r="B23" s="86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="49" customFormat="1" ht="14.25" spans="1:26">
      <c r="A24" s="84"/>
      <c r="B24" s="85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9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</row>
    <row r="25" s="49" customFormat="1" ht="14.25" spans="1:26">
      <c r="A25" s="87"/>
      <c r="B25" s="88"/>
      <c r="C25" s="89"/>
      <c r="D25" s="90"/>
      <c r="E25" s="89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</row>
    <row r="26" s="49" customFormat="1" ht="14.25" spans="1:26">
      <c r="A26" s="84"/>
      <c r="B26" s="85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</row>
    <row r="27" s="49" customFormat="1" ht="14.25" spans="1:26">
      <c r="A27" s="84"/>
      <c r="B27" s="88"/>
      <c r="C27" s="90"/>
      <c r="D27" s="89"/>
      <c r="E27" s="90"/>
      <c r="F27" s="89"/>
      <c r="G27" s="89"/>
      <c r="H27" s="89"/>
      <c r="I27" s="89"/>
      <c r="J27" s="89"/>
      <c r="K27" s="89"/>
      <c r="L27" s="89"/>
      <c r="M27" s="89"/>
      <c r="N27" s="89"/>
      <c r="O27" s="104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</row>
    <row r="28" s="49" customFormat="1" ht="14.25" spans="1:26">
      <c r="A28" s="84"/>
      <c r="B28" s="88"/>
      <c r="C28" s="90"/>
      <c r="D28" s="89"/>
      <c r="E28" s="90"/>
      <c r="F28" s="89"/>
      <c r="G28" s="89"/>
      <c r="H28" s="89"/>
      <c r="I28" s="89"/>
      <c r="J28" s="89"/>
      <c r="K28" s="89"/>
      <c r="L28" s="89"/>
      <c r="M28" s="89"/>
      <c r="N28" s="89"/>
      <c r="O28" s="105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</row>
    <row r="29" s="49" customFormat="1" spans="1:26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2" spans="2:2">
      <c r="B32" s="91"/>
    </row>
    <row r="33" spans="2:2">
      <c r="B33" s="92"/>
    </row>
    <row r="34" spans="2:15">
      <c r="B34" s="93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</row>
    <row r="35" spans="2:14">
      <c r="B35" s="93"/>
      <c r="E35" s="95"/>
      <c r="F35" s="95"/>
      <c r="G35" s="95"/>
      <c r="H35" s="95"/>
      <c r="I35" s="95"/>
      <c r="J35" s="95"/>
      <c r="K35" s="95"/>
      <c r="L35" s="95"/>
      <c r="M35" s="95"/>
      <c r="N35" s="95"/>
    </row>
  </sheetData>
  <sheetProtection selectLockedCells="1" selectUnlockedCells="1"/>
  <mergeCells count="5">
    <mergeCell ref="A1:O1"/>
    <mergeCell ref="A2:O2"/>
    <mergeCell ref="A3:O3"/>
    <mergeCell ref="A4:O4"/>
    <mergeCell ref="A5:O5"/>
  </mergeCells>
  <pageMargins left="0.789583333333333" right="0.789583333333333" top="0.789583333333333" bottom="0.789583333333333" header="0.509722222222222" footer="0.509722222222222"/>
  <pageSetup paperSize="9" orientation="landscape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6"/>
  <sheetViews>
    <sheetView view="pageBreakPreview" zoomScale="80" zoomScaleNormal="90" zoomScaleSheetLayoutView="80" workbookViewId="0">
      <selection activeCell="J13" sqref="J13"/>
    </sheetView>
  </sheetViews>
  <sheetFormatPr defaultColWidth="9.14285714285714" defaultRowHeight="15.75" customHeight="1" outlineLevelCol="5"/>
  <cols>
    <col min="1" max="1" width="30.1428571428571"/>
    <col min="2" max="2" width="24.2857142857143"/>
    <col min="3" max="3" width="22.8571428571429"/>
    <col min="4" max="4" width="25.5619047619048"/>
    <col min="5" max="5" width="27.2857142857143"/>
  </cols>
  <sheetData>
    <row r="1" ht="51.65" customHeight="1" spans="1:5">
      <c r="A1" s="1"/>
      <c r="B1" s="1"/>
      <c r="C1" s="1"/>
      <c r="D1" s="1"/>
      <c r="E1" s="1"/>
    </row>
    <row r="2" ht="29.85" customHeight="1" spans="1:5">
      <c r="A2" s="2"/>
      <c r="B2" s="2"/>
      <c r="C2" s="2"/>
      <c r="D2" s="2"/>
      <c r="E2" s="2"/>
    </row>
    <row r="3" ht="12.4" customHeight="1" spans="1:5">
      <c r="A3" s="3"/>
      <c r="B3" s="3"/>
      <c r="C3" s="3"/>
      <c r="D3" s="3"/>
      <c r="E3" s="3"/>
    </row>
    <row r="4" ht="40.1" customHeight="1" spans="1:5">
      <c r="A4" s="4" t="str">
        <f ca="1">orçamento!A4</f>
        <v>OBRA: LIGAÇÃO DA REDE EXISTENTE DO CONDOMÍNIO VILA REAL AO LAGO DO SILVÉRIO COM A CONSTRUÇÃO DE ESCADA HIDRÁULICA</v>
      </c>
      <c r="B4" s="4"/>
      <c r="C4" s="4"/>
      <c r="D4" s="4"/>
      <c r="E4" s="4"/>
    </row>
    <row r="5" ht="12.4" customHeight="1" spans="1:5">
      <c r="A5" s="3"/>
      <c r="B5" s="3"/>
      <c r="C5" s="3"/>
      <c r="D5" s="3"/>
      <c r="E5" s="3"/>
    </row>
    <row r="6" ht="33.75" customHeight="1" spans="1:5">
      <c r="A6" s="5" t="s">
        <v>110</v>
      </c>
      <c r="B6" s="5"/>
      <c r="C6" s="5"/>
      <c r="D6" s="5"/>
      <c r="E6" s="5"/>
    </row>
    <row r="7" ht="6.75" customHeight="1" spans="1:5">
      <c r="A7" s="6"/>
      <c r="B7" s="6"/>
      <c r="C7" s="6"/>
      <c r="D7" s="6"/>
      <c r="E7" s="6"/>
    </row>
    <row r="8" customHeight="1" spans="1:5">
      <c r="A8" s="7" t="s">
        <v>111</v>
      </c>
      <c r="B8" s="7"/>
      <c r="C8" s="7"/>
      <c r="D8" s="7"/>
      <c r="E8" s="8"/>
    </row>
    <row r="9" customHeight="1" spans="1:5">
      <c r="A9" s="9" t="s">
        <v>112</v>
      </c>
      <c r="B9" s="10" t="s">
        <v>113</v>
      </c>
      <c r="C9" s="10" t="s">
        <v>114</v>
      </c>
      <c r="D9" s="10" t="s">
        <v>115</v>
      </c>
      <c r="E9" s="8"/>
    </row>
    <row r="10" customHeight="1" spans="1:5">
      <c r="A10" s="11" t="s">
        <v>116</v>
      </c>
      <c r="B10" s="12">
        <v>20.76</v>
      </c>
      <c r="C10" s="12">
        <v>24.18</v>
      </c>
      <c r="D10" s="12">
        <v>26.44</v>
      </c>
      <c r="E10" s="8"/>
    </row>
    <row r="11" ht="16.15" customHeight="1" spans="1:5">
      <c r="A11" s="13"/>
      <c r="B11" s="13"/>
      <c r="C11" s="13"/>
      <c r="D11" s="13"/>
      <c r="E11" s="14"/>
    </row>
    <row r="12" customHeight="1" spans="1:5">
      <c r="A12" s="15" t="s">
        <v>6</v>
      </c>
      <c r="B12" s="16" t="s">
        <v>117</v>
      </c>
      <c r="C12" s="16"/>
      <c r="D12" s="16"/>
      <c r="E12" s="15" t="s">
        <v>118</v>
      </c>
    </row>
    <row r="13" customHeight="1" spans="1:5">
      <c r="A13" s="15"/>
      <c r="B13" s="16" t="s">
        <v>119</v>
      </c>
      <c r="C13" s="16" t="s">
        <v>120</v>
      </c>
      <c r="D13" s="16" t="s">
        <v>121</v>
      </c>
      <c r="E13" s="15"/>
    </row>
    <row r="14" customHeight="1" spans="1:6">
      <c r="A14" s="17" t="s">
        <v>122</v>
      </c>
      <c r="B14" s="18">
        <v>3.43</v>
      </c>
      <c r="C14" s="18">
        <v>4.93</v>
      </c>
      <c r="D14" s="18">
        <v>6.71</v>
      </c>
      <c r="E14" s="19">
        <v>5</v>
      </c>
      <c r="F14" s="14" t="str">
        <f ca="1" t="shared" ref="F14:F22" si="0">IF(E14=0," ",IF(E14&lt;B14,"ERRO",(IF(E14&gt;D14,"ERRO","OK!"))))</f>
        <v>OK!</v>
      </c>
    </row>
    <row r="15" customHeight="1" spans="1:6">
      <c r="A15" s="17" t="s">
        <v>123</v>
      </c>
      <c r="B15" s="20">
        <v>0.28</v>
      </c>
      <c r="C15" s="20">
        <v>0.49</v>
      </c>
      <c r="D15" s="20">
        <v>0.75</v>
      </c>
      <c r="E15" s="21">
        <v>0.55</v>
      </c>
      <c r="F15" s="14" t="str">
        <f ca="1" t="shared" si="0"/>
        <v>OK!</v>
      </c>
    </row>
    <row r="16" customHeight="1" spans="1:6">
      <c r="A16" s="17" t="s">
        <v>124</v>
      </c>
      <c r="B16" s="20">
        <v>1</v>
      </c>
      <c r="C16" s="20">
        <v>1.39</v>
      </c>
      <c r="D16" s="20">
        <v>1.74</v>
      </c>
      <c r="E16" s="21">
        <v>1.5</v>
      </c>
      <c r="F16" s="14" t="str">
        <f ca="1" t="shared" si="0"/>
        <v>OK!</v>
      </c>
    </row>
    <row r="17" customHeight="1" spans="1:6">
      <c r="A17" s="17" t="s">
        <v>125</v>
      </c>
      <c r="B17" s="20">
        <v>0.94</v>
      </c>
      <c r="C17" s="20">
        <v>0.99</v>
      </c>
      <c r="D17" s="20">
        <v>1.17</v>
      </c>
      <c r="E17" s="21">
        <v>1</v>
      </c>
      <c r="F17" s="14" t="str">
        <f ca="1" t="shared" si="0"/>
        <v>OK!</v>
      </c>
    </row>
    <row r="18" customHeight="1" spans="1:6">
      <c r="A18" s="17" t="s">
        <v>126</v>
      </c>
      <c r="B18" s="20">
        <v>6.74</v>
      </c>
      <c r="C18" s="20">
        <v>8.04</v>
      </c>
      <c r="D18" s="20">
        <v>9.4</v>
      </c>
      <c r="E18" s="21">
        <v>8.5</v>
      </c>
      <c r="F18" s="14" t="str">
        <f ca="1" t="shared" si="0"/>
        <v>OK!</v>
      </c>
    </row>
    <row r="19" ht="31.5" customHeight="1" spans="1:6">
      <c r="A19" s="22" t="s">
        <v>127</v>
      </c>
      <c r="B19" s="23">
        <f ca="1">SUM(B20:B22)</f>
        <v>5.15</v>
      </c>
      <c r="C19" s="23">
        <f ca="1">SUM(C20:C22)</f>
        <v>6.65</v>
      </c>
      <c r="D19" s="23">
        <f ca="1">SUM(D20:D22)</f>
        <v>8.65</v>
      </c>
      <c r="E19" s="23">
        <f ca="1">SUM(E20:E22)</f>
        <v>6.15</v>
      </c>
      <c r="F19" s="14" t="str">
        <f ca="1" t="shared" si="0"/>
        <v>OK!</v>
      </c>
    </row>
    <row r="20" customHeight="1" spans="1:6">
      <c r="A20" s="17" t="s">
        <v>128</v>
      </c>
      <c r="B20" s="20">
        <v>3</v>
      </c>
      <c r="C20" s="20">
        <v>3</v>
      </c>
      <c r="D20" s="20">
        <v>3</v>
      </c>
      <c r="E20" s="21">
        <v>3</v>
      </c>
      <c r="F20" s="14" t="str">
        <f ca="1" t="shared" si="0"/>
        <v>OK!</v>
      </c>
    </row>
    <row r="21" customHeight="1" spans="1:6">
      <c r="A21" s="17" t="s">
        <v>129</v>
      </c>
      <c r="B21" s="20">
        <v>0.65</v>
      </c>
      <c r="C21" s="20">
        <v>0.65</v>
      </c>
      <c r="D21" s="20">
        <v>0.65</v>
      </c>
      <c r="E21" s="21">
        <v>0.65</v>
      </c>
      <c r="F21" s="14" t="str">
        <f ca="1" t="shared" si="0"/>
        <v>OK!</v>
      </c>
    </row>
    <row r="22" customHeight="1" spans="1:6">
      <c r="A22" s="17" t="s">
        <v>130</v>
      </c>
      <c r="B22" s="20">
        <v>1.5</v>
      </c>
      <c r="C22" s="20">
        <v>3</v>
      </c>
      <c r="D22" s="20">
        <v>5</v>
      </c>
      <c r="E22" s="21">
        <v>2.5</v>
      </c>
      <c r="F22" s="14" t="str">
        <f ca="1" t="shared" si="0"/>
        <v>OK!</v>
      </c>
    </row>
    <row r="23" ht="25.25" customHeight="1" spans="1:6">
      <c r="A23" s="24" t="s">
        <v>11</v>
      </c>
      <c r="B23" s="25"/>
      <c r="C23" s="25"/>
      <c r="D23" s="25"/>
      <c r="E23" s="26">
        <f ca="1">ROUND((((((1+E14/100+E15/100+E16/100)*(1+E17/100)*(1+E18/100))/(1-E19/100))-1)*100),2)</f>
        <v>25</v>
      </c>
      <c r="F23" s="14" t="str">
        <f ca="1">IF(E23=0," ",IF(E23&lt;B10,"ERRO",(IF(E23&gt;D10,"ERRO","OK!"))))</f>
        <v>OK!</v>
      </c>
    </row>
    <row r="24" ht="9" customHeight="1" spans="1:5">
      <c r="A24" s="14"/>
      <c r="B24" s="14"/>
      <c r="C24" s="14"/>
      <c r="D24" s="14"/>
      <c r="E24" s="14"/>
    </row>
    <row r="25" customHeight="1" spans="1:5">
      <c r="A25" s="14" t="s">
        <v>131</v>
      </c>
      <c r="B25" s="14"/>
      <c r="C25" s="14"/>
      <c r="D25" s="14"/>
      <c r="E25" s="14"/>
    </row>
    <row r="26" customHeight="1" spans="1:5">
      <c r="A26" s="14"/>
      <c r="B26" s="14"/>
      <c r="C26" s="14"/>
      <c r="D26" s="14"/>
      <c r="E26" s="14"/>
    </row>
    <row r="27" customHeight="1" spans="1:5">
      <c r="A27" s="27" t="s">
        <v>132</v>
      </c>
      <c r="B27" s="27"/>
      <c r="C27" s="27"/>
      <c r="D27" s="27"/>
      <c r="E27" s="14"/>
    </row>
    <row r="28" customHeight="1" spans="1:5">
      <c r="A28" s="14"/>
      <c r="B28" s="14"/>
      <c r="C28" s="14"/>
      <c r="D28" s="14"/>
      <c r="E28" s="14"/>
    </row>
    <row r="29" customHeight="1" spans="1:5">
      <c r="A29" s="14"/>
      <c r="B29" s="14"/>
      <c r="C29" s="14"/>
      <c r="D29" s="14"/>
      <c r="E29" s="14"/>
    </row>
    <row r="30" customHeight="1" spans="1:5">
      <c r="A30" s="14"/>
      <c r="B30" s="14"/>
      <c r="C30" s="14"/>
      <c r="D30" s="14"/>
      <c r="E30" s="14"/>
    </row>
    <row r="31" customHeight="1" spans="1:5">
      <c r="A31" s="14"/>
      <c r="B31" s="14"/>
      <c r="C31" s="14"/>
      <c r="D31" s="14"/>
      <c r="E31" s="14"/>
    </row>
    <row r="32" ht="9" customHeight="1" spans="1:5">
      <c r="A32" s="14"/>
      <c r="B32" s="14"/>
      <c r="C32" s="14"/>
      <c r="D32" s="14"/>
      <c r="E32" s="14"/>
    </row>
    <row r="33" customHeight="1" spans="1:5">
      <c r="A33" s="28" t="s">
        <v>133</v>
      </c>
      <c r="B33" s="14"/>
      <c r="C33" s="14"/>
      <c r="D33" s="14"/>
      <c r="E33" s="14"/>
    </row>
    <row r="34" customHeight="1" spans="1:5">
      <c r="A34" s="29" t="s">
        <v>134</v>
      </c>
      <c r="B34" s="29"/>
      <c r="C34" s="29"/>
      <c r="D34" s="29"/>
      <c r="E34" s="14"/>
    </row>
    <row r="35" customHeight="1" spans="1:5">
      <c r="A35" s="29" t="s">
        <v>135</v>
      </c>
      <c r="B35" s="29"/>
      <c r="C35" s="29"/>
      <c r="D35" s="29"/>
      <c r="E35" s="14"/>
    </row>
    <row r="36" customHeight="1" spans="1:5">
      <c r="A36" s="29" t="s">
        <v>136</v>
      </c>
      <c r="B36" s="29"/>
      <c r="C36" s="29"/>
      <c r="D36" s="29"/>
      <c r="E36" s="14"/>
    </row>
    <row r="37" customHeight="1" spans="1:5">
      <c r="A37" s="29" t="s">
        <v>137</v>
      </c>
      <c r="B37" s="29"/>
      <c r="C37" s="29"/>
      <c r="D37" s="29"/>
      <c r="E37" s="14"/>
    </row>
    <row r="38" customHeight="1" spans="1:5">
      <c r="A38" s="29" t="s">
        <v>138</v>
      </c>
      <c r="B38" s="29"/>
      <c r="C38" s="29"/>
      <c r="D38" s="29"/>
      <c r="E38" s="14"/>
    </row>
    <row r="39" ht="6.75" customHeight="1" spans="1:5">
      <c r="A39" s="30"/>
      <c r="B39" s="30"/>
      <c r="C39" s="30"/>
      <c r="D39" s="30"/>
      <c r="E39" s="14"/>
    </row>
    <row r="40" customHeight="1" spans="1:5">
      <c r="A40" s="31" t="s">
        <v>139</v>
      </c>
      <c r="B40" s="31"/>
      <c r="C40" s="31"/>
      <c r="D40" s="31"/>
      <c r="E40" s="31"/>
    </row>
    <row r="41" customHeight="1" spans="1:5">
      <c r="A41" s="32" t="s">
        <v>140</v>
      </c>
      <c r="B41" s="33"/>
      <c r="C41" s="33"/>
      <c r="D41" s="33"/>
      <c r="E41" s="33"/>
    </row>
    <row r="42" customHeight="1" spans="1:5">
      <c r="A42" s="32" t="s">
        <v>141</v>
      </c>
      <c r="B42" s="33"/>
      <c r="C42" s="33"/>
      <c r="D42" s="33"/>
      <c r="E42" s="33"/>
    </row>
    <row r="43" ht="9.75" customHeight="1"/>
    <row r="44" ht="47.25" customHeight="1" spans="1:4">
      <c r="A44" s="34" t="s">
        <v>142</v>
      </c>
      <c r="B44" s="34"/>
      <c r="C44" s="34"/>
      <c r="D44" s="34"/>
    </row>
    <row r="45" ht="11.25" customHeight="1" spans="1:1">
      <c r="A45" s="35"/>
    </row>
    <row r="46" customHeight="1" spans="1:4">
      <c r="A46" s="7" t="s">
        <v>143</v>
      </c>
      <c r="B46" s="7"/>
      <c r="C46" s="7"/>
      <c r="D46" s="7"/>
    </row>
    <row r="47" customHeight="1" spans="1:4">
      <c r="A47" s="9" t="s">
        <v>112</v>
      </c>
      <c r="B47" s="10" t="s">
        <v>113</v>
      </c>
      <c r="C47" s="10" t="s">
        <v>114</v>
      </c>
      <c r="D47" s="10" t="s">
        <v>115</v>
      </c>
    </row>
    <row r="48" customHeight="1" spans="1:4">
      <c r="A48" s="11" t="s">
        <v>116</v>
      </c>
      <c r="B48" s="36">
        <v>0.2076</v>
      </c>
      <c r="C48" s="36">
        <v>0.2418</v>
      </c>
      <c r="D48" s="36">
        <v>0.2644</v>
      </c>
    </row>
    <row r="49" ht="64.5" customHeight="1" spans="1:4">
      <c r="A49" s="37" t="s">
        <v>144</v>
      </c>
      <c r="B49" s="37"/>
      <c r="C49" s="37"/>
      <c r="D49" s="37"/>
    </row>
    <row r="50" ht="7.5" customHeight="1" spans="1:4">
      <c r="A50" s="38"/>
      <c r="B50" s="39"/>
      <c r="C50" s="39"/>
      <c r="D50" s="39"/>
    </row>
    <row r="51" ht="60.75" customHeight="1" spans="1:4">
      <c r="A51" s="40" t="s">
        <v>145</v>
      </c>
      <c r="B51" s="40"/>
      <c r="C51" s="40"/>
      <c r="D51" s="40"/>
    </row>
    <row r="52" ht="12.4" customHeight="1"/>
    <row r="53" ht="45.75" customHeight="1" spans="1:5">
      <c r="A53" s="41" t="s">
        <v>146</v>
      </c>
      <c r="B53" s="42">
        <f ca="1">SUM(B20:B22)+4.5</f>
        <v>9.65</v>
      </c>
      <c r="C53" s="42">
        <f ca="1">SUM(C20:C22)+4.5</f>
        <v>11.15</v>
      </c>
      <c r="D53" s="42">
        <f ca="1">SUM(D20:D22)+4.5</f>
        <v>13.15</v>
      </c>
      <c r="E53" s="43">
        <f ca="1">IF(E19&gt;0,(SUM(E20:E22)+4.5),0)</f>
        <v>10.65</v>
      </c>
    </row>
    <row r="54" ht="27.55" customHeight="1" spans="1:5">
      <c r="A54" s="44" t="s">
        <v>11</v>
      </c>
      <c r="B54" s="45"/>
      <c r="C54" s="45"/>
      <c r="D54" s="45"/>
      <c r="E54" s="46">
        <f ca="1">((((1+E14/100+E15/100+E16/100)*(1+E17/100)*(1+E18/100))/(1-E53/100))-1)*100</f>
        <v>31.2935002797986</v>
      </c>
    </row>
    <row r="56" customHeight="1" spans="5:5">
      <c r="E56" s="47" t="str">
        <f ca="1">orçamento!G77</f>
        <v>Jahu, 03 de Dezembro de 2019</v>
      </c>
    </row>
  </sheetData>
  <sheetProtection selectLockedCells="1" selectUnlockedCells="1"/>
  <mergeCells count="21">
    <mergeCell ref="A1:E1"/>
    <mergeCell ref="A2:E2"/>
    <mergeCell ref="A4:E4"/>
    <mergeCell ref="A5:E5"/>
    <mergeCell ref="A6:E6"/>
    <mergeCell ref="A8:D8"/>
    <mergeCell ref="A11:D11"/>
    <mergeCell ref="B12:D12"/>
    <mergeCell ref="A27:D27"/>
    <mergeCell ref="A34:D34"/>
    <mergeCell ref="A35:D35"/>
    <mergeCell ref="A36:D36"/>
    <mergeCell ref="A37:D37"/>
    <mergeCell ref="A38:D38"/>
    <mergeCell ref="A44:D44"/>
    <mergeCell ref="A46:D46"/>
    <mergeCell ref="A49:D49"/>
    <mergeCell ref="A51:D51"/>
    <mergeCell ref="A12:A13"/>
    <mergeCell ref="E8:E10"/>
    <mergeCell ref="E12:E13"/>
  </mergeCells>
  <pageMargins left="0.789583333333333" right="0.789583333333333" top="1.05" bottom="1.05" header="0.789583333333333" footer="0.789583333333333"/>
  <pageSetup paperSize="9" scale="59" orientation="portrait" horizontalDpi="300" verticalDpi="300"/>
  <headerFooter alignWithMargins="0" scaleWithDoc="0"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BDI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created xsi:type="dcterms:W3CDTF">2019-04-30T15:39:24Z</dcterms:created>
  <cp:lastPrinted>2019-12-03T14:29:44Z</cp:lastPrinted>
  <dcterms:modified xsi:type="dcterms:W3CDTF">2019-12-03T16:10:22Z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1033-10.2.0.5965</vt:lpwstr>
  </property>
</Properties>
</file>