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9920" windowHeight="7500"/>
  </bookViews>
  <sheets>
    <sheet name="Orçamento Geral" sheetId="4" r:id="rId1"/>
    <sheet name="Cronograma" sheetId="5" r:id="rId2"/>
  </sheets>
  <definedNames>
    <definedName name="_xlnm._FilterDatabase" localSheetId="0" hidden="1">'Orçamento Geral'!#REF!</definedName>
    <definedName name="aa">#REF!</definedName>
    <definedName name="aaaa">#REF!</definedName>
    <definedName name="AIR" localSheetId="0">#REF!</definedName>
    <definedName name="AIR">#REF!</definedName>
    <definedName name="_xlnm.Print_Area" localSheetId="0">'Orçamento Geral'!$B$1:$J$511</definedName>
    <definedName name="_xlnm.Database" localSheetId="1">#REF!</definedName>
    <definedName name="_xlnm.Database" localSheetId="0">#REF!</definedName>
    <definedName name="_xlnm.Database">#REF!</definedName>
    <definedName name="BILLING" localSheetId="0">#REF!</definedName>
    <definedName name="BILLING">#REF!</definedName>
    <definedName name="BOMPRINT" localSheetId="0">#REF!</definedName>
    <definedName name="BOMPRINT">#REF!</definedName>
    <definedName name="CalcReferencia" localSheetId="1">#N/A</definedName>
    <definedName name="CalcReferencia" localSheetId="0">#N/A</definedName>
    <definedName name="CalcReferencia">#N/A</definedName>
    <definedName name="CalcReferencia1" localSheetId="1">#N/A</definedName>
    <definedName name="CalcReferencia1" localSheetId="0">#N/A</definedName>
    <definedName name="CalcReferencia1">#N/A</definedName>
    <definedName name="CHECKBOM" localSheetId="0">#REF!</definedName>
    <definedName name="CHECKBOM">#REF!</definedName>
    <definedName name="_xlnm.Criteria" localSheetId="0">#REF!</definedName>
    <definedName name="_xlnm.Criteria">#REF!</definedName>
    <definedName name="DELETE1" localSheetId="0">#REF!</definedName>
    <definedName name="DELETE1">#REF!</definedName>
    <definedName name="DELETE2" localSheetId="0">#REF!</definedName>
    <definedName name="DELETE2">#REF!</definedName>
    <definedName name="DESCONTO" localSheetId="0">#REF!</definedName>
    <definedName name="DESCONTO">#REF!</definedName>
    <definedName name="DÓLAR" localSheetId="0">#REF!</definedName>
    <definedName name="DÓLAR">#REF!</definedName>
    <definedName name="ENC.FINANC" localSheetId="0">#REF!</definedName>
    <definedName name="ENC.FINANC">#REF!</definedName>
    <definedName name="EWO" localSheetId="0">#REF!</definedName>
    <definedName name="EWO">#REF!</definedName>
    <definedName name="Excel_BuiltIn_Print_Area_1">#REF!</definedName>
    <definedName name="FIND.PART" localSheetId="0">#REF!</definedName>
    <definedName name="FIND.PART">#REF!</definedName>
    <definedName name="FINSOCIAL" localSheetId="0">#REF!</definedName>
    <definedName name="FINSOCIAL">#REF!</definedName>
    <definedName name="FRETE" localSheetId="0">#REF!</definedName>
    <definedName name="FRETE">#REF!</definedName>
    <definedName name="IBO" localSheetId="0">#REF!</definedName>
    <definedName name="IBO">#REF!</definedName>
    <definedName name="INFO" localSheetId="0">#REF!</definedName>
    <definedName name="INFO">#REF!</definedName>
    <definedName name="insert1" localSheetId="0">#REF!</definedName>
    <definedName name="insert1">#REF!</definedName>
    <definedName name="insert2" localSheetId="0">#REF!</definedName>
    <definedName name="insert2">#REF!</definedName>
    <definedName name="IR" localSheetId="0">#REF!</definedName>
    <definedName name="IR">#REF!</definedName>
    <definedName name="ISS" localSheetId="0">#REF!</definedName>
    <definedName name="ISS">#REF!</definedName>
    <definedName name="ITC_D_379" localSheetId="0">#REF!</definedName>
    <definedName name="ITC_D_379">#REF!</definedName>
    <definedName name="IWO" localSheetId="0">#REF!</definedName>
    <definedName name="IWO">#REF!</definedName>
    <definedName name="Lst.MatServ" localSheetId="0">#REF!</definedName>
    <definedName name="Lst.MatServ">#REF!</definedName>
    <definedName name="Lst.Position" localSheetId="0">#REF!</definedName>
    <definedName name="Lst.Position">#REF!</definedName>
    <definedName name="Lst.Tipo" localSheetId="0">#REF!</definedName>
    <definedName name="Lst.Tipo">#REF!</definedName>
    <definedName name="Lst.Top" localSheetId="0">#REF!</definedName>
    <definedName name="Lst.Top">#REF!</definedName>
    <definedName name="Lst.Top1" localSheetId="0">#REF!</definedName>
    <definedName name="Lst.Top1">#REF!</definedName>
    <definedName name="M" localSheetId="0">#REF!</definedName>
    <definedName name="M">#REF!</definedName>
    <definedName name="MARGEM" localSheetId="0">#REF!</definedName>
    <definedName name="MARGEM">#REF!</definedName>
    <definedName name="MARGEM1" localSheetId="0">#REF!</definedName>
    <definedName name="MARGEM1">#REF!</definedName>
    <definedName name="MARGEM10" localSheetId="0">#REF!</definedName>
    <definedName name="MARGEM10">#REF!</definedName>
    <definedName name="MARGEM11" localSheetId="0">#REF!</definedName>
    <definedName name="MARGEM11">#REF!</definedName>
    <definedName name="MARGEM12" localSheetId="0">#REF!</definedName>
    <definedName name="MARGEM12">#REF!</definedName>
    <definedName name="MARGEM13" localSheetId="0">#REF!</definedName>
    <definedName name="MARGEM13">#REF!</definedName>
    <definedName name="MARGEM14" localSheetId="0">#REF!</definedName>
    <definedName name="MARGEM14">#REF!</definedName>
    <definedName name="MARGEM15" localSheetId="0">#REF!</definedName>
    <definedName name="MARGEM15">#REF!</definedName>
    <definedName name="MARGEM16" localSheetId="0">#REF!</definedName>
    <definedName name="MARGEM16">#REF!</definedName>
    <definedName name="MARGEM17" localSheetId="0">#REF!</definedName>
    <definedName name="MARGEM17">#REF!</definedName>
    <definedName name="MARGEM18" localSheetId="0">#REF!</definedName>
    <definedName name="MARGEM18">#REF!</definedName>
    <definedName name="MARGEM19" localSheetId="0">#REF!</definedName>
    <definedName name="MARGEM19">#REF!</definedName>
    <definedName name="MARGEM2" localSheetId="0">#REF!</definedName>
    <definedName name="MARGEM2">#REF!</definedName>
    <definedName name="MARGEM20" localSheetId="0">#REF!</definedName>
    <definedName name="MARGEM20">#REF!</definedName>
    <definedName name="MARGEM21" localSheetId="0">#REF!</definedName>
    <definedName name="MARGEM21">#REF!</definedName>
    <definedName name="MARGEM22" localSheetId="0">#REF!</definedName>
    <definedName name="MARGEM22">#REF!</definedName>
    <definedName name="MARGEM23" localSheetId="0">#REF!</definedName>
    <definedName name="MARGEM23">#REF!</definedName>
    <definedName name="MARGEM24" localSheetId="0">#REF!</definedName>
    <definedName name="MARGEM24">#REF!</definedName>
    <definedName name="MARGEM25" localSheetId="0">#REF!</definedName>
    <definedName name="MARGEM25">#REF!</definedName>
    <definedName name="MARGEM26" localSheetId="0">#REF!</definedName>
    <definedName name="MARGEM26">#REF!</definedName>
    <definedName name="MARGEM27" localSheetId="0">#REF!</definedName>
    <definedName name="MARGEM27">#REF!</definedName>
    <definedName name="MARGEM28" localSheetId="0">#REF!</definedName>
    <definedName name="MARGEM28">#REF!</definedName>
    <definedName name="MARGEM29" localSheetId="0">#REF!</definedName>
    <definedName name="MARGEM29">#REF!</definedName>
    <definedName name="MARGEM3" localSheetId="0">#REF!</definedName>
    <definedName name="MARGEM3">#REF!</definedName>
    <definedName name="MARGEM30" localSheetId="0">#REF!</definedName>
    <definedName name="MARGEM30">#REF!</definedName>
    <definedName name="MARGEM31" localSheetId="0">#REF!</definedName>
    <definedName name="MARGEM31">#REF!</definedName>
    <definedName name="MARGEM32" localSheetId="0">#REF!</definedName>
    <definedName name="MARGEM32">#REF!</definedName>
    <definedName name="MARGEM33" localSheetId="0">#REF!</definedName>
    <definedName name="MARGEM33">#REF!</definedName>
    <definedName name="MARGEM34" localSheetId="0">#REF!</definedName>
    <definedName name="MARGEM34">#REF!</definedName>
    <definedName name="MARGEM35" localSheetId="0">#REF!</definedName>
    <definedName name="MARGEM35">#REF!</definedName>
    <definedName name="MARGEM36" localSheetId="0">#REF!</definedName>
    <definedName name="MARGEM36">#REF!</definedName>
    <definedName name="MARGEM37" localSheetId="0">#REF!</definedName>
    <definedName name="MARGEM37">#REF!</definedName>
    <definedName name="MARGEM38" localSheetId="0">#REF!</definedName>
    <definedName name="MARGEM38">#REF!</definedName>
    <definedName name="MARGEM39" localSheetId="0">#REF!</definedName>
    <definedName name="MARGEM39">#REF!</definedName>
    <definedName name="MARGEM4" localSheetId="0">#REF!</definedName>
    <definedName name="MARGEM4">#REF!</definedName>
    <definedName name="MARGEM40" localSheetId="0">#REF!</definedName>
    <definedName name="MARGEM40">#REF!</definedName>
    <definedName name="MARGEM5" localSheetId="0">#REF!</definedName>
    <definedName name="MARGEM5">#REF!</definedName>
    <definedName name="MARGEM6" localSheetId="0">#REF!</definedName>
    <definedName name="MARGEM6">#REF!</definedName>
    <definedName name="MARGEM7" localSheetId="0">#REF!</definedName>
    <definedName name="MARGEM7">#REF!</definedName>
    <definedName name="MARGEM8" localSheetId="0">#REF!</definedName>
    <definedName name="MARGEM8">#REF!</definedName>
    <definedName name="MARGEM9" localSheetId="0">#REF!</definedName>
    <definedName name="MARGEM9">#REF!</definedName>
    <definedName name="Optico" localSheetId="1">OFFSET(Lst.Top,#REF!,-1,1,1)</definedName>
    <definedName name="Optico" localSheetId="0">OFFSET('Orçamento Geral'!Lst.Top,#REF!,-1,1,1)</definedName>
    <definedName name="Optico">OFFSET(Lst.Top,#REF!,-1,1,1)</definedName>
    <definedName name="Orçaantigo">#N/A</definedName>
    <definedName name="paste1" localSheetId="0">#REF!</definedName>
    <definedName name="paste1">#REF!</definedName>
    <definedName name="paste2" localSheetId="0">#REF!</definedName>
    <definedName name="paste2">#REF!</definedName>
    <definedName name="paste3" localSheetId="0">#REF!</definedName>
    <definedName name="paste3">#REF!</definedName>
    <definedName name="paste4" localSheetId="0">#REF!</definedName>
    <definedName name="paste4">#REF!</definedName>
    <definedName name="PIS" localSheetId="0">#REF!</definedName>
    <definedName name="PIS">#REF!</definedName>
    <definedName name="RecalcMatriz" localSheetId="0">#REF!</definedName>
    <definedName name="RecalcMatriz">#REF!</definedName>
    <definedName name="RMA" localSheetId="0">#REF!</definedName>
    <definedName name="RMA">#REF!</definedName>
    <definedName name="Serviços" localSheetId="0">#REF!</definedName>
    <definedName name="Serviços">#REF!</definedName>
    <definedName name="sound1" localSheetId="0">#REF!</definedName>
    <definedName name="sound1">#REF!</definedName>
    <definedName name="sound2" localSheetId="0">#REF!</definedName>
    <definedName name="sound2">#REF!</definedName>
    <definedName name="start" localSheetId="0">#REF!</definedName>
    <definedName name="start">#REF!</definedName>
    <definedName name="TABSERBO" localSheetId="0">#REF!</definedName>
    <definedName name="TABSERBO">#REF!</definedName>
    <definedName name="temp" localSheetId="0">#REF!</definedName>
    <definedName name="temp">#REF!</definedName>
    <definedName name="temp2" localSheetId="0">#REF!</definedName>
    <definedName name="temp2">#REF!</definedName>
    <definedName name="_xlnm.Print_Titles" localSheetId="0">'Orçamento Geral'!$1:$8</definedName>
  </definedNames>
  <calcPr calcId="144525"/>
</workbook>
</file>

<file path=xl/calcChain.xml><?xml version="1.0" encoding="utf-8"?>
<calcChain xmlns="http://schemas.openxmlformats.org/spreadsheetml/2006/main">
  <c r="D10" i="5" l="1"/>
  <c r="V39" i="5"/>
  <c r="U38" i="5"/>
  <c r="T38" i="5"/>
  <c r="R38" i="5"/>
  <c r="P38" i="5"/>
  <c r="N38" i="5"/>
  <c r="L38" i="5"/>
  <c r="J38" i="5"/>
  <c r="H38" i="5"/>
  <c r="F38" i="5"/>
  <c r="D38" i="5"/>
  <c r="B39" i="5"/>
  <c r="V37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7" i="5"/>
  <c r="V35" i="5"/>
  <c r="U34" i="5"/>
  <c r="T34" i="5"/>
  <c r="R34" i="5"/>
  <c r="P34" i="5"/>
  <c r="N34" i="5"/>
  <c r="L34" i="5"/>
  <c r="J34" i="5"/>
  <c r="H34" i="5"/>
  <c r="F34" i="5"/>
  <c r="D34" i="5"/>
  <c r="C34" i="5"/>
  <c r="B35" i="5"/>
  <c r="V33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3" i="5"/>
  <c r="V31" i="5"/>
  <c r="U30" i="5"/>
  <c r="T30" i="5"/>
  <c r="R30" i="5"/>
  <c r="P30" i="5"/>
  <c r="N30" i="5"/>
  <c r="L30" i="5"/>
  <c r="K30" i="5"/>
  <c r="J30" i="5"/>
  <c r="I30" i="5"/>
  <c r="H30" i="5"/>
  <c r="G30" i="5"/>
  <c r="F30" i="5"/>
  <c r="E30" i="5"/>
  <c r="D30" i="5"/>
  <c r="C30" i="5"/>
  <c r="B31" i="5"/>
  <c r="V29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9" i="5"/>
  <c r="V27" i="5"/>
  <c r="U26" i="5"/>
  <c r="T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7" i="5"/>
  <c r="V25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5" i="5"/>
  <c r="V23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3" i="5"/>
  <c r="V21" i="5"/>
  <c r="U20" i="5"/>
  <c r="T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1" i="5"/>
  <c r="V19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9" i="5"/>
  <c r="V17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7" i="5"/>
  <c r="V15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5" i="5"/>
  <c r="V13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3" i="5"/>
  <c r="V11" i="5"/>
  <c r="U10" i="5"/>
  <c r="T10" i="5"/>
  <c r="T40" i="5" s="1"/>
  <c r="T42" i="5" s="1"/>
  <c r="S10" i="5"/>
  <c r="R10" i="5"/>
  <c r="Q10" i="5"/>
  <c r="P10" i="5"/>
  <c r="P40" i="5" s="1"/>
  <c r="P42" i="5" s="1"/>
  <c r="O10" i="5"/>
  <c r="N10" i="5"/>
  <c r="M10" i="5"/>
  <c r="L10" i="5"/>
  <c r="L40" i="5" s="1"/>
  <c r="L42" i="5" s="1"/>
  <c r="K10" i="5"/>
  <c r="J10" i="5"/>
  <c r="I10" i="5"/>
  <c r="H10" i="5"/>
  <c r="H40" i="5" s="1"/>
  <c r="H42" i="5" s="1"/>
  <c r="G10" i="5"/>
  <c r="F10" i="5"/>
  <c r="E10" i="5"/>
  <c r="D40" i="5"/>
  <c r="C10" i="5"/>
  <c r="B11" i="5"/>
  <c r="D498" i="4"/>
  <c r="C498" i="4"/>
  <c r="B498" i="4"/>
  <c r="D497" i="4"/>
  <c r="C497" i="4"/>
  <c r="B497" i="4"/>
  <c r="D496" i="4"/>
  <c r="C496" i="4"/>
  <c r="B496" i="4"/>
  <c r="F495" i="4"/>
  <c r="D495" i="4"/>
  <c r="C495" i="4"/>
  <c r="B495" i="4"/>
  <c r="F494" i="4"/>
  <c r="D494" i="4"/>
  <c r="C494" i="4"/>
  <c r="B494" i="4"/>
  <c r="G487" i="4"/>
  <c r="G476" i="4"/>
  <c r="G467" i="4"/>
  <c r="G466" i="4"/>
  <c r="G465" i="4"/>
  <c r="G430" i="4"/>
  <c r="G424" i="4"/>
  <c r="G423" i="4"/>
  <c r="G422" i="4"/>
  <c r="G418" i="4"/>
  <c r="G419" i="4" s="1"/>
  <c r="G417" i="4"/>
  <c r="G415" i="4"/>
  <c r="G420" i="4" s="1"/>
  <c r="B406" i="4"/>
  <c r="G389" i="4"/>
  <c r="G387" i="4"/>
  <c r="G386" i="4" s="1"/>
  <c r="G383" i="4"/>
  <c r="G384" i="4" s="1"/>
  <c r="G379" i="4"/>
  <c r="G380" i="4" s="1"/>
  <c r="G378" i="4"/>
  <c r="G341" i="4"/>
  <c r="G329" i="4"/>
  <c r="G317" i="4"/>
  <c r="G305" i="4"/>
  <c r="G402" i="4" s="1"/>
  <c r="G302" i="4"/>
  <c r="G393" i="4" s="1"/>
  <c r="G301" i="4"/>
  <c r="G298" i="4"/>
  <c r="G295" i="4"/>
  <c r="G278" i="4"/>
  <c r="B275" i="4"/>
  <c r="G253" i="4"/>
  <c r="G248" i="4"/>
  <c r="G246" i="4"/>
  <c r="G244" i="4"/>
  <c r="G245" i="4" s="1"/>
  <c r="G239" i="4"/>
  <c r="G242" i="4" s="1"/>
  <c r="G235" i="4"/>
  <c r="G234" i="4"/>
  <c r="G209" i="4"/>
  <c r="G208" i="4"/>
  <c r="G189" i="4"/>
  <c r="G181" i="4"/>
  <c r="G166" i="4"/>
  <c r="G159" i="4"/>
  <c r="G154" i="4"/>
  <c r="G155" i="4" s="1"/>
  <c r="G153" i="4"/>
  <c r="G152" i="4"/>
  <c r="G151" i="4"/>
  <c r="G145" i="4"/>
  <c r="G265" i="4" s="1"/>
  <c r="G142" i="4"/>
  <c r="G141" i="4"/>
  <c r="G136" i="4"/>
  <c r="G271" i="4" s="1"/>
  <c r="G118" i="4"/>
  <c r="G409" i="4" s="1"/>
  <c r="B115" i="4"/>
  <c r="G110" i="4"/>
  <c r="G99" i="4"/>
  <c r="G72" i="4"/>
  <c r="G68" i="4"/>
  <c r="J65" i="4"/>
  <c r="G104" i="4" s="1"/>
  <c r="B65" i="4"/>
  <c r="G61" i="4"/>
  <c r="G60" i="4"/>
  <c r="G56" i="4"/>
  <c r="G54" i="4"/>
  <c r="G53" i="4"/>
  <c r="G50" i="4"/>
  <c r="G49" i="4"/>
  <c r="G48" i="4"/>
  <c r="G47" i="4"/>
  <c r="G44" i="4"/>
  <c r="G43" i="4"/>
  <c r="G40" i="4"/>
  <c r="G39" i="4"/>
  <c r="G38" i="4"/>
  <c r="G35" i="4"/>
  <c r="G19" i="4"/>
  <c r="G17" i="4"/>
  <c r="G16" i="4"/>
  <c r="G15" i="4"/>
  <c r="G14" i="4"/>
  <c r="G13" i="4"/>
  <c r="J9" i="4"/>
  <c r="I217" i="4" s="1"/>
  <c r="J217" i="4" s="1"/>
  <c r="H7" i="4"/>
  <c r="H495" i="4" s="1"/>
  <c r="H6" i="4"/>
  <c r="H494" i="4" s="1"/>
  <c r="G71" i="4" l="1"/>
  <c r="G98" i="4"/>
  <c r="G232" i="4"/>
  <c r="G69" i="4"/>
  <c r="G74" i="4"/>
  <c r="G107" i="4"/>
  <c r="G70" i="4"/>
  <c r="G94" i="4"/>
  <c r="G108" i="4"/>
  <c r="F40" i="5"/>
  <c r="F42" i="5" s="1"/>
  <c r="J40" i="5"/>
  <c r="J42" i="5" s="1"/>
  <c r="N40" i="5"/>
  <c r="N42" i="5" s="1"/>
  <c r="R40" i="5"/>
  <c r="R42" i="5" s="1"/>
  <c r="I13" i="4"/>
  <c r="I17" i="4"/>
  <c r="J17" i="4" s="1"/>
  <c r="I23" i="4"/>
  <c r="I27" i="4"/>
  <c r="I31" i="4"/>
  <c r="J31" i="4" s="1"/>
  <c r="I35" i="4"/>
  <c r="I38" i="4"/>
  <c r="I39" i="4"/>
  <c r="J39" i="4" s="1"/>
  <c r="I40" i="4"/>
  <c r="I43" i="4"/>
  <c r="J43" i="4" s="1"/>
  <c r="J45" i="4" s="1"/>
  <c r="I44" i="4"/>
  <c r="J44" i="4" s="1"/>
  <c r="I53" i="4"/>
  <c r="J53" i="4" s="1"/>
  <c r="I54" i="4"/>
  <c r="J54" i="4" s="1"/>
  <c r="I77" i="4"/>
  <c r="I79" i="4"/>
  <c r="I81" i="4"/>
  <c r="I90" i="4"/>
  <c r="I103" i="4"/>
  <c r="I118" i="4"/>
  <c r="J118" i="4" s="1"/>
  <c r="I120" i="4"/>
  <c r="I122" i="4"/>
  <c r="I134" i="4"/>
  <c r="J134" i="4" s="1"/>
  <c r="I137" i="4"/>
  <c r="J137" i="4" s="1"/>
  <c r="I150" i="4"/>
  <c r="I151" i="4"/>
  <c r="J151" i="4" s="1"/>
  <c r="I152" i="4"/>
  <c r="J152" i="4" s="1"/>
  <c r="I153" i="4"/>
  <c r="J153" i="4" s="1"/>
  <c r="I154" i="4"/>
  <c r="J154" i="4" s="1"/>
  <c r="I158" i="4"/>
  <c r="J158" i="4" s="1"/>
  <c r="I159" i="4"/>
  <c r="J159" i="4" s="1"/>
  <c r="I161" i="4"/>
  <c r="J161" i="4" s="1"/>
  <c r="I163" i="4"/>
  <c r="J163" i="4" s="1"/>
  <c r="I165" i="4"/>
  <c r="J165" i="4" s="1"/>
  <c r="I166" i="4"/>
  <c r="J166" i="4" s="1"/>
  <c r="I168" i="4"/>
  <c r="J168" i="4" s="1"/>
  <c r="I170" i="4"/>
  <c r="J170" i="4" s="1"/>
  <c r="I172" i="4"/>
  <c r="J172" i="4" s="1"/>
  <c r="I174" i="4"/>
  <c r="J174" i="4" s="1"/>
  <c r="I177" i="4"/>
  <c r="J177" i="4" s="1"/>
  <c r="I179" i="4"/>
  <c r="J179" i="4" s="1"/>
  <c r="I183" i="4"/>
  <c r="J183" i="4" s="1"/>
  <c r="I185" i="4"/>
  <c r="J185" i="4" s="1"/>
  <c r="I187" i="4"/>
  <c r="J187" i="4" s="1"/>
  <c r="I193" i="4"/>
  <c r="J193" i="4" s="1"/>
  <c r="I195" i="4"/>
  <c r="J195" i="4" s="1"/>
  <c r="I197" i="4"/>
  <c r="J197" i="4" s="1"/>
  <c r="I199" i="4"/>
  <c r="J199" i="4" s="1"/>
  <c r="I201" i="4"/>
  <c r="J201" i="4" s="1"/>
  <c r="I203" i="4"/>
  <c r="J203" i="4" s="1"/>
  <c r="I205" i="4"/>
  <c r="J205" i="4" s="1"/>
  <c r="I207" i="4"/>
  <c r="J207" i="4" s="1"/>
  <c r="I214" i="4"/>
  <c r="J214" i="4" s="1"/>
  <c r="I223" i="4"/>
  <c r="J223" i="4" s="1"/>
  <c r="I12" i="4"/>
  <c r="J12" i="4" s="1"/>
  <c r="I15" i="4"/>
  <c r="I19" i="4"/>
  <c r="J19" i="4" s="1"/>
  <c r="I25" i="4"/>
  <c r="I30" i="4"/>
  <c r="J30" i="4" s="1"/>
  <c r="J33" i="4" s="1"/>
  <c r="I32" i="4"/>
  <c r="J32" i="4" s="1"/>
  <c r="J104" i="4"/>
  <c r="I78" i="4"/>
  <c r="I80" i="4"/>
  <c r="I82" i="4"/>
  <c r="I93" i="4"/>
  <c r="I95" i="4"/>
  <c r="I102" i="4"/>
  <c r="I104" i="4"/>
  <c r="I110" i="4"/>
  <c r="J110" i="4" s="1"/>
  <c r="I119" i="4"/>
  <c r="I121" i="4"/>
  <c r="I133" i="4"/>
  <c r="J133" i="4" s="1"/>
  <c r="I135" i="4"/>
  <c r="J135" i="4" s="1"/>
  <c r="I136" i="4"/>
  <c r="J136" i="4" s="1"/>
  <c r="I149" i="4"/>
  <c r="I155" i="4"/>
  <c r="I160" i="4"/>
  <c r="J160" i="4" s="1"/>
  <c r="I162" i="4"/>
  <c r="J162" i="4" s="1"/>
  <c r="I164" i="4"/>
  <c r="J164" i="4" s="1"/>
  <c r="I167" i="4"/>
  <c r="J167" i="4" s="1"/>
  <c r="I169" i="4"/>
  <c r="J169" i="4" s="1"/>
  <c r="I171" i="4"/>
  <c r="J171" i="4" s="1"/>
  <c r="I173" i="4"/>
  <c r="J173" i="4" s="1"/>
  <c r="I175" i="4"/>
  <c r="J175" i="4" s="1"/>
  <c r="I178" i="4"/>
  <c r="J178" i="4" s="1"/>
  <c r="I180" i="4"/>
  <c r="J180" i="4" s="1"/>
  <c r="I182" i="4"/>
  <c r="J182" i="4" s="1"/>
  <c r="I184" i="4"/>
  <c r="J184" i="4" s="1"/>
  <c r="I186" i="4"/>
  <c r="J186" i="4" s="1"/>
  <c r="I188" i="4"/>
  <c r="J188" i="4" s="1"/>
  <c r="I189" i="4"/>
  <c r="J189" i="4" s="1"/>
  <c r="I194" i="4"/>
  <c r="J194" i="4" s="1"/>
  <c r="I196" i="4"/>
  <c r="J196" i="4" s="1"/>
  <c r="I198" i="4"/>
  <c r="J198" i="4" s="1"/>
  <c r="I200" i="4"/>
  <c r="J200" i="4" s="1"/>
  <c r="I202" i="4"/>
  <c r="J202" i="4" s="1"/>
  <c r="I204" i="4"/>
  <c r="J204" i="4" s="1"/>
  <c r="I206" i="4"/>
  <c r="J206" i="4" s="1"/>
  <c r="I212" i="4"/>
  <c r="J212" i="4" s="1"/>
  <c r="U40" i="5"/>
  <c r="U42" i="5" s="1"/>
  <c r="D42" i="5"/>
  <c r="D43" i="5" s="1"/>
  <c r="D41" i="5"/>
  <c r="S20" i="5"/>
  <c r="V41" i="5"/>
  <c r="S26" i="5"/>
  <c r="M30" i="5"/>
  <c r="O30" i="5"/>
  <c r="Q30" i="5"/>
  <c r="S30" i="5"/>
  <c r="E34" i="5"/>
  <c r="G34" i="5"/>
  <c r="I34" i="5"/>
  <c r="K34" i="5"/>
  <c r="M34" i="5"/>
  <c r="O34" i="5"/>
  <c r="Q34" i="5"/>
  <c r="S34" i="5"/>
  <c r="C38" i="5"/>
  <c r="C41" i="5" s="1"/>
  <c r="E38" i="5"/>
  <c r="G38" i="5"/>
  <c r="I38" i="5"/>
  <c r="K38" i="5"/>
  <c r="M38" i="5"/>
  <c r="O38" i="5"/>
  <c r="Q38" i="5"/>
  <c r="S38" i="5"/>
  <c r="J15" i="4"/>
  <c r="J23" i="4"/>
  <c r="J27" i="4"/>
  <c r="J13" i="4"/>
  <c r="J25" i="4"/>
  <c r="J35" i="4"/>
  <c r="J36" i="4" s="1"/>
  <c r="J38" i="4"/>
  <c r="J40" i="4"/>
  <c r="J139" i="4"/>
  <c r="J155" i="4"/>
  <c r="I485" i="4"/>
  <c r="J485" i="4" s="1"/>
  <c r="I484" i="4"/>
  <c r="J484" i="4" s="1"/>
  <c r="I483" i="4"/>
  <c r="J483" i="4" s="1"/>
  <c r="I482" i="4"/>
  <c r="J482" i="4" s="1"/>
  <c r="G411" i="4"/>
  <c r="I14" i="4"/>
  <c r="J14" i="4" s="1"/>
  <c r="I16" i="4"/>
  <c r="J16" i="4" s="1"/>
  <c r="I22" i="4"/>
  <c r="J22" i="4" s="1"/>
  <c r="I24" i="4"/>
  <c r="J24" i="4" s="1"/>
  <c r="I26" i="4"/>
  <c r="J26" i="4" s="1"/>
  <c r="I47" i="4"/>
  <c r="J47" i="4" s="1"/>
  <c r="I48" i="4"/>
  <c r="J48" i="4" s="1"/>
  <c r="I49" i="4"/>
  <c r="J49" i="4" s="1"/>
  <c r="I50" i="4"/>
  <c r="J50" i="4" s="1"/>
  <c r="I56" i="4"/>
  <c r="J56" i="4" s="1"/>
  <c r="J58" i="4" s="1"/>
  <c r="I60" i="4"/>
  <c r="J60" i="4" s="1"/>
  <c r="I61" i="4"/>
  <c r="J61" i="4" s="1"/>
  <c r="I68" i="4"/>
  <c r="J68" i="4" s="1"/>
  <c r="I69" i="4"/>
  <c r="J69" i="4" s="1"/>
  <c r="I70" i="4"/>
  <c r="J70" i="4" s="1"/>
  <c r="I71" i="4"/>
  <c r="J71" i="4" s="1"/>
  <c r="I72" i="4"/>
  <c r="J72" i="4" s="1"/>
  <c r="I74" i="4"/>
  <c r="J74" i="4" s="1"/>
  <c r="J77" i="4"/>
  <c r="J78" i="4"/>
  <c r="J79" i="4"/>
  <c r="J80" i="4"/>
  <c r="J81" i="4"/>
  <c r="J82" i="4"/>
  <c r="I85" i="4"/>
  <c r="J85" i="4" s="1"/>
  <c r="I86" i="4"/>
  <c r="J86" i="4" s="1"/>
  <c r="I87" i="4"/>
  <c r="J87" i="4" s="1"/>
  <c r="G90" i="4"/>
  <c r="J90" i="4" s="1"/>
  <c r="J91" i="4" s="1"/>
  <c r="G93" i="4"/>
  <c r="I94" i="4"/>
  <c r="J94" i="4" s="1"/>
  <c r="G95" i="4"/>
  <c r="J95" i="4" s="1"/>
  <c r="I98" i="4"/>
  <c r="J98" i="4" s="1"/>
  <c r="I99" i="4"/>
  <c r="J99" i="4" s="1"/>
  <c r="G102" i="4"/>
  <c r="J102" i="4" s="1"/>
  <c r="G103" i="4"/>
  <c r="J103" i="4" s="1"/>
  <c r="I107" i="4"/>
  <c r="J107" i="4" s="1"/>
  <c r="I108" i="4"/>
  <c r="J108" i="4" s="1"/>
  <c r="G119" i="4"/>
  <c r="J119" i="4" s="1"/>
  <c r="G120" i="4"/>
  <c r="J120" i="4" s="1"/>
  <c r="G121" i="4"/>
  <c r="J121" i="4" s="1"/>
  <c r="G122" i="4"/>
  <c r="J122" i="4" s="1"/>
  <c r="I125" i="4"/>
  <c r="J125" i="4" s="1"/>
  <c r="I126" i="4"/>
  <c r="J126" i="4" s="1"/>
  <c r="I127" i="4"/>
  <c r="J127" i="4" s="1"/>
  <c r="I128" i="4"/>
  <c r="J128" i="4" s="1"/>
  <c r="I129" i="4"/>
  <c r="J129" i="4" s="1"/>
  <c r="I130" i="4"/>
  <c r="J130" i="4" s="1"/>
  <c r="I141" i="4"/>
  <c r="J141" i="4" s="1"/>
  <c r="I142" i="4"/>
  <c r="J142" i="4" s="1"/>
  <c r="I145" i="4"/>
  <c r="J145" i="4" s="1"/>
  <c r="J147" i="4" s="1"/>
  <c r="G149" i="4"/>
  <c r="J149" i="4" s="1"/>
  <c r="G150" i="4"/>
  <c r="J150" i="4" s="1"/>
  <c r="I181" i="4"/>
  <c r="J181" i="4" s="1"/>
  <c r="I208" i="4"/>
  <c r="J208" i="4" s="1"/>
  <c r="I209" i="4"/>
  <c r="J209" i="4" s="1"/>
  <c r="I211" i="4"/>
  <c r="J211" i="4" s="1"/>
  <c r="I213" i="4"/>
  <c r="J213" i="4" s="1"/>
  <c r="I216" i="4"/>
  <c r="J216" i="4" s="1"/>
  <c r="I219" i="4"/>
  <c r="J219" i="4" s="1"/>
  <c r="I220" i="4"/>
  <c r="J220" i="4" s="1"/>
  <c r="I222" i="4"/>
  <c r="J222" i="4" s="1"/>
  <c r="I225" i="4"/>
  <c r="J225" i="4" s="1"/>
  <c r="I229" i="4"/>
  <c r="J229" i="4" s="1"/>
  <c r="I232" i="4"/>
  <c r="I233" i="4"/>
  <c r="I234" i="4"/>
  <c r="J234" i="4" s="1"/>
  <c r="I236" i="4"/>
  <c r="I239" i="4"/>
  <c r="J239" i="4" s="1"/>
  <c r="I240" i="4"/>
  <c r="I241" i="4"/>
  <c r="I242" i="4"/>
  <c r="I244" i="4"/>
  <c r="J244" i="4" s="1"/>
  <c r="I245" i="4"/>
  <c r="J245" i="4" s="1"/>
  <c r="I253" i="4"/>
  <c r="J253" i="4" s="1"/>
  <c r="I256" i="4"/>
  <c r="J256" i="4" s="1"/>
  <c r="I260" i="4"/>
  <c r="J260" i="4" s="1"/>
  <c r="I264" i="4"/>
  <c r="I265" i="4"/>
  <c r="J265" i="4" s="1"/>
  <c r="I271" i="4"/>
  <c r="J271" i="4" s="1"/>
  <c r="I278" i="4"/>
  <c r="J278" i="4" s="1"/>
  <c r="I285" i="4"/>
  <c r="J285" i="4" s="1"/>
  <c r="I287" i="4"/>
  <c r="J287" i="4" s="1"/>
  <c r="I289" i="4"/>
  <c r="J289" i="4" s="1"/>
  <c r="I292" i="4"/>
  <c r="J292" i="4" s="1"/>
  <c r="I294" i="4"/>
  <c r="J294" i="4" s="1"/>
  <c r="I298" i="4"/>
  <c r="J298" i="4" s="1"/>
  <c r="J299" i="4" s="1"/>
  <c r="I301" i="4"/>
  <c r="J301" i="4" s="1"/>
  <c r="I302" i="4"/>
  <c r="I305" i="4"/>
  <c r="J305" i="4" s="1"/>
  <c r="I306" i="4"/>
  <c r="I310" i="4"/>
  <c r="J310" i="4" s="1"/>
  <c r="I314" i="4"/>
  <c r="J314" i="4" s="1"/>
  <c r="I317" i="4"/>
  <c r="J317" i="4" s="1"/>
  <c r="I321" i="4"/>
  <c r="J321" i="4" s="1"/>
  <c r="I325" i="4"/>
  <c r="J325" i="4" s="1"/>
  <c r="I329" i="4"/>
  <c r="J329" i="4" s="1"/>
  <c r="I332" i="4"/>
  <c r="J332" i="4" s="1"/>
  <c r="I336" i="4"/>
  <c r="J336" i="4" s="1"/>
  <c r="I340" i="4"/>
  <c r="J340" i="4" s="1"/>
  <c r="I346" i="4"/>
  <c r="J346" i="4" s="1"/>
  <c r="I348" i="4"/>
  <c r="J348" i="4" s="1"/>
  <c r="I350" i="4"/>
  <c r="J350" i="4" s="1"/>
  <c r="I352" i="4"/>
  <c r="J352" i="4" s="1"/>
  <c r="I354" i="4"/>
  <c r="J354" i="4" s="1"/>
  <c r="I356" i="4"/>
  <c r="J356" i="4" s="1"/>
  <c r="I368" i="4"/>
  <c r="J368" i="4" s="1"/>
  <c r="J232" i="4"/>
  <c r="G233" i="4"/>
  <c r="I218" i="4"/>
  <c r="J218" i="4" s="1"/>
  <c r="I224" i="4"/>
  <c r="J224" i="4" s="1"/>
  <c r="I228" i="4"/>
  <c r="J228" i="4" s="1"/>
  <c r="J230" i="4" s="1"/>
  <c r="I235" i="4"/>
  <c r="J235" i="4" s="1"/>
  <c r="J242" i="4"/>
  <c r="I243" i="4"/>
  <c r="J243" i="4" s="1"/>
  <c r="I246" i="4"/>
  <c r="J246" i="4" s="1"/>
  <c r="I248" i="4"/>
  <c r="J248" i="4" s="1"/>
  <c r="I250" i="4"/>
  <c r="J250" i="4" s="1"/>
  <c r="I254" i="4"/>
  <c r="J254" i="4" s="1"/>
  <c r="I258" i="4"/>
  <c r="J258" i="4" s="1"/>
  <c r="I270" i="4"/>
  <c r="J270" i="4" s="1"/>
  <c r="I279" i="4"/>
  <c r="I280" i="4"/>
  <c r="I281" i="4"/>
  <c r="I284" i="4"/>
  <c r="J284" i="4" s="1"/>
  <c r="I286" i="4"/>
  <c r="J286" i="4" s="1"/>
  <c r="I288" i="4"/>
  <c r="J288" i="4" s="1"/>
  <c r="I293" i="4"/>
  <c r="J293" i="4" s="1"/>
  <c r="I295" i="4"/>
  <c r="J295" i="4" s="1"/>
  <c r="I312" i="4"/>
  <c r="J312" i="4" s="1"/>
  <c r="I316" i="4"/>
  <c r="J316" i="4" s="1"/>
  <c r="I319" i="4"/>
  <c r="J319" i="4" s="1"/>
  <c r="I323" i="4"/>
  <c r="J323" i="4" s="1"/>
  <c r="I327" i="4"/>
  <c r="J327" i="4" s="1"/>
  <c r="I334" i="4"/>
  <c r="J334" i="4" s="1"/>
  <c r="I338" i="4"/>
  <c r="J338" i="4" s="1"/>
  <c r="I341" i="4"/>
  <c r="J341" i="4" s="1"/>
  <c r="I360" i="4"/>
  <c r="J360" i="4" s="1"/>
  <c r="I362" i="4"/>
  <c r="J362" i="4" s="1"/>
  <c r="I364" i="4"/>
  <c r="J364" i="4" s="1"/>
  <c r="I366" i="4"/>
  <c r="J366" i="4" s="1"/>
  <c r="I373" i="4"/>
  <c r="I383" i="4"/>
  <c r="I385" i="4"/>
  <c r="G236" i="4"/>
  <c r="I255" i="4"/>
  <c r="J255" i="4" s="1"/>
  <c r="I257" i="4"/>
  <c r="J257" i="4" s="1"/>
  <c r="I259" i="4"/>
  <c r="J259" i="4" s="1"/>
  <c r="I261" i="4"/>
  <c r="J261" i="4" s="1"/>
  <c r="I266" i="4"/>
  <c r="J266" i="4" s="1"/>
  <c r="I269" i="4"/>
  <c r="J269" i="4" s="1"/>
  <c r="G279" i="4"/>
  <c r="G280" i="4"/>
  <c r="I309" i="4"/>
  <c r="J309" i="4" s="1"/>
  <c r="I311" i="4"/>
  <c r="J311" i="4" s="1"/>
  <c r="I313" i="4"/>
  <c r="J313" i="4" s="1"/>
  <c r="I315" i="4"/>
  <c r="J315" i="4" s="1"/>
  <c r="I318" i="4"/>
  <c r="J318" i="4" s="1"/>
  <c r="I320" i="4"/>
  <c r="J320" i="4" s="1"/>
  <c r="I322" i="4"/>
  <c r="J322" i="4" s="1"/>
  <c r="I324" i="4"/>
  <c r="J324" i="4" s="1"/>
  <c r="I326" i="4"/>
  <c r="J326" i="4" s="1"/>
  <c r="I328" i="4"/>
  <c r="J328" i="4" s="1"/>
  <c r="I331" i="4"/>
  <c r="J331" i="4" s="1"/>
  <c r="I333" i="4"/>
  <c r="J333" i="4" s="1"/>
  <c r="I335" i="4"/>
  <c r="J335" i="4" s="1"/>
  <c r="I337" i="4"/>
  <c r="J337" i="4" s="1"/>
  <c r="I339" i="4"/>
  <c r="J339" i="4" s="1"/>
  <c r="I342" i="4"/>
  <c r="J342" i="4" s="1"/>
  <c r="I347" i="4"/>
  <c r="J347" i="4" s="1"/>
  <c r="I349" i="4"/>
  <c r="J349" i="4" s="1"/>
  <c r="I351" i="4"/>
  <c r="J351" i="4" s="1"/>
  <c r="I353" i="4"/>
  <c r="J353" i="4" s="1"/>
  <c r="I355" i="4"/>
  <c r="J355" i="4" s="1"/>
  <c r="I357" i="4"/>
  <c r="J357" i="4" s="1"/>
  <c r="I359" i="4"/>
  <c r="J359" i="4" s="1"/>
  <c r="I361" i="4"/>
  <c r="J361" i="4" s="1"/>
  <c r="I365" i="4"/>
  <c r="J365" i="4" s="1"/>
  <c r="I369" i="4"/>
  <c r="J369" i="4" s="1"/>
  <c r="I377" i="4"/>
  <c r="I378" i="4"/>
  <c r="J378" i="4" s="1"/>
  <c r="I379" i="4"/>
  <c r="J379" i="4" s="1"/>
  <c r="I387" i="4"/>
  <c r="J387" i="4" s="1"/>
  <c r="I393" i="4"/>
  <c r="J393" i="4" s="1"/>
  <c r="J394" i="4" s="1"/>
  <c r="I396" i="4"/>
  <c r="I397" i="4"/>
  <c r="I398" i="4"/>
  <c r="I401" i="4"/>
  <c r="J401" i="4" s="1"/>
  <c r="I415" i="4"/>
  <c r="I418" i="4"/>
  <c r="J418" i="4" s="1"/>
  <c r="I419" i="4"/>
  <c r="J419" i="4" s="1"/>
  <c r="I420" i="4"/>
  <c r="J420" i="4" s="1"/>
  <c r="I422" i="4"/>
  <c r="J422" i="4"/>
  <c r="I424" i="4"/>
  <c r="J424" i="4"/>
  <c r="I433" i="4"/>
  <c r="J433" i="4" s="1"/>
  <c r="I438" i="4"/>
  <c r="J438" i="4" s="1"/>
  <c r="I442" i="4"/>
  <c r="J442" i="4" s="1"/>
  <c r="I447" i="4"/>
  <c r="J447" i="4" s="1"/>
  <c r="I451" i="4"/>
  <c r="J451" i="4" s="1"/>
  <c r="I456" i="4"/>
  <c r="J456" i="4" s="1"/>
  <c r="I461" i="4"/>
  <c r="J461" i="4" s="1"/>
  <c r="I465" i="4"/>
  <c r="J465" i="4" s="1"/>
  <c r="I467" i="4"/>
  <c r="J467" i="4" s="1"/>
  <c r="I471" i="4"/>
  <c r="J471" i="4" s="1"/>
  <c r="I475" i="4"/>
  <c r="J475" i="4" s="1"/>
  <c r="I478" i="4"/>
  <c r="J478" i="4" s="1"/>
  <c r="I480" i="4"/>
  <c r="J480" i="4" s="1"/>
  <c r="I487" i="4"/>
  <c r="J487" i="4" s="1"/>
  <c r="I372" i="4"/>
  <c r="J372" i="4" s="1"/>
  <c r="J383" i="4"/>
  <c r="G398" i="4"/>
  <c r="I384" i="4"/>
  <c r="J384" i="4" s="1"/>
  <c r="I386" i="4"/>
  <c r="J386" i="4" s="1"/>
  <c r="G240" i="4"/>
  <c r="J240" i="4" s="1"/>
  <c r="G241" i="4"/>
  <c r="J241" i="4" s="1"/>
  <c r="G376" i="4"/>
  <c r="G397" i="4"/>
  <c r="J302" i="4"/>
  <c r="G306" i="4"/>
  <c r="J306" i="4" s="1"/>
  <c r="I367" i="4"/>
  <c r="J367" i="4" s="1"/>
  <c r="J373" i="4"/>
  <c r="I376" i="4"/>
  <c r="I380" i="4"/>
  <c r="J380" i="4" s="1"/>
  <c r="G385" i="4"/>
  <c r="J385" i="4" s="1"/>
  <c r="I389" i="4"/>
  <c r="J389" i="4" s="1"/>
  <c r="I402" i="4"/>
  <c r="J402" i="4" s="1"/>
  <c r="I409" i="4"/>
  <c r="J409" i="4" s="1"/>
  <c r="I411" i="4"/>
  <c r="I414" i="4"/>
  <c r="J414" i="4" s="1"/>
  <c r="I417" i="4"/>
  <c r="J417" i="4" s="1"/>
  <c r="I421" i="4"/>
  <c r="J421" i="4" s="1"/>
  <c r="I423" i="4"/>
  <c r="J423" i="4"/>
  <c r="I426" i="4"/>
  <c r="J426" i="4" s="1"/>
  <c r="I430" i="4"/>
  <c r="J430" i="4" s="1"/>
  <c r="J431" i="4" s="1"/>
  <c r="I436" i="4"/>
  <c r="J436" i="4" s="1"/>
  <c r="I440" i="4"/>
  <c r="J440" i="4" s="1"/>
  <c r="I444" i="4"/>
  <c r="J444" i="4" s="1"/>
  <c r="I449" i="4"/>
  <c r="J449" i="4" s="1"/>
  <c r="I453" i="4"/>
  <c r="J453" i="4" s="1"/>
  <c r="I459" i="4"/>
  <c r="J459" i="4" s="1"/>
  <c r="I466" i="4"/>
  <c r="J466" i="4" s="1"/>
  <c r="I473" i="4"/>
  <c r="J473" i="4" s="1"/>
  <c r="I476" i="4"/>
  <c r="J476" i="4"/>
  <c r="I486" i="4"/>
  <c r="J486" i="4" s="1"/>
  <c r="I388" i="4"/>
  <c r="J388" i="4" s="1"/>
  <c r="I416" i="4"/>
  <c r="J416" i="4" s="1"/>
  <c r="I425" i="4"/>
  <c r="J425" i="4" s="1"/>
  <c r="I427" i="4"/>
  <c r="J427" i="4" s="1"/>
  <c r="I435" i="4"/>
  <c r="J435" i="4" s="1"/>
  <c r="I437" i="4"/>
  <c r="J437" i="4" s="1"/>
  <c r="I439" i="4"/>
  <c r="J439" i="4" s="1"/>
  <c r="I441" i="4"/>
  <c r="J441" i="4" s="1"/>
  <c r="I443" i="4"/>
  <c r="J443" i="4" s="1"/>
  <c r="I445" i="4"/>
  <c r="J445" i="4" s="1"/>
  <c r="I448" i="4"/>
  <c r="J448" i="4" s="1"/>
  <c r="I450" i="4"/>
  <c r="J450" i="4" s="1"/>
  <c r="I452" i="4"/>
  <c r="J452" i="4" s="1"/>
  <c r="I455" i="4"/>
  <c r="J455" i="4" s="1"/>
  <c r="I457" i="4"/>
  <c r="J457" i="4" s="1"/>
  <c r="I460" i="4"/>
  <c r="J460" i="4" s="1"/>
  <c r="I462" i="4"/>
  <c r="J462" i="4" s="1"/>
  <c r="I470" i="4"/>
  <c r="J470" i="4" s="1"/>
  <c r="I472" i="4"/>
  <c r="J472" i="4" s="1"/>
  <c r="I474" i="4"/>
  <c r="J474" i="4" s="1"/>
  <c r="I477" i="4"/>
  <c r="J477" i="4" s="1"/>
  <c r="I481" i="4"/>
  <c r="J481" i="4" s="1"/>
  <c r="J415" i="4"/>
  <c r="J280" i="4" l="1"/>
  <c r="J236" i="4"/>
  <c r="J190" i="4"/>
  <c r="J93" i="4"/>
  <c r="J20" i="4"/>
  <c r="Q40" i="5"/>
  <c r="Q42" i="5" s="1"/>
  <c r="I40" i="5"/>
  <c r="I42" i="5" s="1"/>
  <c r="J41" i="4"/>
  <c r="E40" i="5"/>
  <c r="E42" i="5" s="1"/>
  <c r="E43" i="5" s="1"/>
  <c r="F43" i="5" s="1"/>
  <c r="G43" i="5" s="1"/>
  <c r="H43" i="5" s="1"/>
  <c r="I43" i="5" s="1"/>
  <c r="J43" i="5" s="1"/>
  <c r="K43" i="5" s="1"/>
  <c r="L43" i="5" s="1"/>
  <c r="M43" i="5" s="1"/>
  <c r="N43" i="5" s="1"/>
  <c r="O43" i="5" s="1"/>
  <c r="P43" i="5" s="1"/>
  <c r="Q43" i="5" s="1"/>
  <c r="R43" i="5" s="1"/>
  <c r="S43" i="5" s="1"/>
  <c r="T43" i="5" s="1"/>
  <c r="U43" i="5" s="1"/>
  <c r="C40" i="5"/>
  <c r="K40" i="5"/>
  <c r="K42" i="5" s="1"/>
  <c r="G40" i="5"/>
  <c r="G42" i="5" s="1"/>
  <c r="M40" i="5"/>
  <c r="M42" i="5" s="1"/>
  <c r="O40" i="5"/>
  <c r="O42" i="5" s="1"/>
  <c r="S40" i="5"/>
  <c r="S42" i="5" s="1"/>
  <c r="J397" i="4"/>
  <c r="J374" i="4"/>
  <c r="J296" i="4"/>
  <c r="J123" i="4"/>
  <c r="E41" i="5"/>
  <c r="F41" i="5" s="1"/>
  <c r="G41" i="5" s="1"/>
  <c r="H41" i="5" s="1"/>
  <c r="I41" i="5" s="1"/>
  <c r="J41" i="5" s="1"/>
  <c r="J468" i="4"/>
  <c r="J143" i="4"/>
  <c r="J88" i="4"/>
  <c r="J75" i="4"/>
  <c r="J62" i="4"/>
  <c r="J51" i="4"/>
  <c r="J226" i="4"/>
  <c r="J131" i="4"/>
  <c r="J112" i="4"/>
  <c r="J100" i="4"/>
  <c r="J28" i="4"/>
  <c r="G377" i="4"/>
  <c r="J376" i="4"/>
  <c r="J279" i="4"/>
  <c r="J282" i="4" s="1"/>
  <c r="G281" i="4"/>
  <c r="J281" i="4" s="1"/>
  <c r="J489" i="4"/>
  <c r="J428" i="4"/>
  <c r="J398" i="4"/>
  <c r="J463" i="4"/>
  <c r="J403" i="4"/>
  <c r="J272" i="4"/>
  <c r="J370" i="4"/>
  <c r="J307" i="4"/>
  <c r="J303" i="4"/>
  <c r="J262" i="4"/>
  <c r="J156" i="4"/>
  <c r="J105" i="4"/>
  <c r="J96" i="4"/>
  <c r="J411" i="4"/>
  <c r="J412" i="4" s="1"/>
  <c r="J233" i="4"/>
  <c r="J237" i="4" s="1"/>
  <c r="G264" i="4"/>
  <c r="J264" i="4" s="1"/>
  <c r="J267" i="4" s="1"/>
  <c r="J391" i="4"/>
  <c r="J343" i="4"/>
  <c r="J290" i="4"/>
  <c r="J251" i="4"/>
  <c r="J83" i="4"/>
  <c r="K41" i="5" l="1"/>
  <c r="L41" i="5" s="1"/>
  <c r="M41" i="5" s="1"/>
  <c r="N41" i="5" s="1"/>
  <c r="O41" i="5" s="1"/>
  <c r="P41" i="5" s="1"/>
  <c r="Q41" i="5" s="1"/>
  <c r="R41" i="5" s="1"/>
  <c r="S41" i="5" s="1"/>
  <c r="T41" i="5" s="1"/>
  <c r="U41" i="5" s="1"/>
  <c r="I63" i="4"/>
  <c r="J494" i="4" s="1"/>
  <c r="V40" i="5"/>
  <c r="I490" i="4"/>
  <c r="J498" i="4"/>
  <c r="L490" i="4"/>
  <c r="I273" i="4"/>
  <c r="I113" i="4"/>
  <c r="J495" i="4" s="1"/>
  <c r="G396" i="4"/>
  <c r="J396" i="4" s="1"/>
  <c r="J399" i="4" s="1"/>
  <c r="J377" i="4"/>
  <c r="J381" i="4" s="1"/>
  <c r="I404" i="4" l="1"/>
  <c r="J497" i="4"/>
  <c r="L404" i="4"/>
  <c r="J496" i="4"/>
  <c r="L273" i="4"/>
  <c r="J499" i="4" l="1"/>
</calcChain>
</file>

<file path=xl/comments1.xml><?xml version="1.0" encoding="utf-8"?>
<comments xmlns="http://schemas.openxmlformats.org/spreadsheetml/2006/main">
  <authors>
    <author>vono</author>
  </authors>
  <commentList>
    <comment ref="I65" authorId="0">
      <text>
        <r>
          <rPr>
            <b/>
            <sz val="8"/>
            <color indexed="81"/>
            <rFont val="Tahoma"/>
            <family val="2"/>
          </rPr>
          <t>vono:</t>
        </r>
        <r>
          <rPr>
            <sz val="8"/>
            <color indexed="81"/>
            <rFont val="Tahoma"/>
            <family val="2"/>
          </rPr>
          <t xml:space="preserve">
Volume superior em relação ao simples.
</t>
        </r>
      </text>
    </comment>
    <comment ref="G409" authorId="0">
      <text>
        <r>
          <rPr>
            <b/>
            <sz val="8"/>
            <color indexed="81"/>
            <rFont val="Tahoma"/>
            <family val="2"/>
          </rPr>
          <t>vono:</t>
        </r>
        <r>
          <rPr>
            <sz val="8"/>
            <color indexed="81"/>
            <rFont val="Tahoma"/>
            <family val="2"/>
          </rPr>
          <t xml:space="preserve">
TOTAL  - JAZIGOS + CALÇADAS + CALÇADAS AO REDOR DOS PRÉDIOS + JARDIM NA FAIXA DA ADMINISTRAÇÃO</t>
        </r>
      </text>
    </comment>
  </commentList>
</comments>
</file>

<file path=xl/sharedStrings.xml><?xml version="1.0" encoding="utf-8"?>
<sst xmlns="http://schemas.openxmlformats.org/spreadsheetml/2006/main" count="2347" uniqueCount="845">
  <si>
    <t>OBRA:</t>
  </si>
  <si>
    <t>Construção e implantação do Cemitério Parque das Flores</t>
  </si>
  <si>
    <t>QUANT. MODULOS (COM 6 JAZIGOS)</t>
  </si>
  <si>
    <t>TOTAL DE JAZIGOS</t>
  </si>
  <si>
    <t>LOCAL:</t>
  </si>
  <si>
    <t>Rua 1 - Jardim Bela Vista - Jahu - S.P.</t>
  </si>
  <si>
    <t>PADRÃO</t>
  </si>
  <si>
    <t>ESPECIAL</t>
  </si>
  <si>
    <t>Planilha</t>
  </si>
  <si>
    <t>Planilha Orçamentária Jazigos tamanho padrão (1,00x2,30*0,66 )m</t>
  </si>
  <si>
    <t>ITEM</t>
  </si>
  <si>
    <t>CÓDIGO</t>
  </si>
  <si>
    <t>FONTE</t>
  </si>
  <si>
    <t>DESCRIÇÃO DOS SERVIÇOS</t>
  </si>
  <si>
    <t>UNID.</t>
  </si>
  <si>
    <t>QUANT.</t>
  </si>
  <si>
    <t>PR.UNIT. (R$) s/ bdi</t>
  </si>
  <si>
    <t>PR. UNIT. (R$) c/ bdi</t>
  </si>
  <si>
    <t>VALOR (R$)</t>
  </si>
  <si>
    <t>1.1</t>
  </si>
  <si>
    <t>1.1.1</t>
  </si>
  <si>
    <t>02.08.020</t>
  </si>
  <si>
    <t>1.1.2</t>
  </si>
  <si>
    <t>02.09.040</t>
  </si>
  <si>
    <t>1.1.3</t>
  </si>
  <si>
    <t>02.10.060</t>
  </si>
  <si>
    <t>1.1.4</t>
  </si>
  <si>
    <t>07.01.020</t>
  </si>
  <si>
    <t>1.1.5</t>
  </si>
  <si>
    <t>06.12.020</t>
  </si>
  <si>
    <t>1.1.6</t>
  </si>
  <si>
    <t>07.11.020</t>
  </si>
  <si>
    <t>m³</t>
  </si>
  <si>
    <t>utilizando MINI CARREGADEIRA ( BOB CAT ) sob túmulos</t>
  </si>
  <si>
    <t>1.1.7</t>
  </si>
  <si>
    <t>05.10.024</t>
  </si>
  <si>
    <t>Subtotal item 1</t>
  </si>
  <si>
    <t>1.2</t>
  </si>
  <si>
    <t>1.2.1</t>
  </si>
  <si>
    <t>06.02.020</t>
  </si>
  <si>
    <t>1.2.2</t>
  </si>
  <si>
    <t>12.01.020</t>
  </si>
  <si>
    <t>1.2.3</t>
  </si>
  <si>
    <t>09.01.020</t>
  </si>
  <si>
    <t>1.2.4</t>
  </si>
  <si>
    <t>10.01.040</t>
  </si>
  <si>
    <t>1.2.5</t>
  </si>
  <si>
    <t>11.01.130</t>
  </si>
  <si>
    <t>1.2.6</t>
  </si>
  <si>
    <t>11.18.040</t>
  </si>
  <si>
    <t>Subtotal item 2</t>
  </si>
  <si>
    <t>1.3</t>
  </si>
  <si>
    <t>1.3.1</t>
  </si>
  <si>
    <t>09.01.030</t>
  </si>
  <si>
    <t>1.3.2</t>
  </si>
  <si>
    <t>1.3.3</t>
  </si>
  <si>
    <t>1.4</t>
  </si>
  <si>
    <t>1.4.1</t>
  </si>
  <si>
    <t>14.10.100</t>
  </si>
  <si>
    <t>c</t>
  </si>
  <si>
    <t>1.5</t>
  </si>
  <si>
    <t>15.05</t>
  </si>
  <si>
    <t>1.5.1</t>
  </si>
  <si>
    <t>1.5.2</t>
  </si>
  <si>
    <t>1.5.3</t>
  </si>
  <si>
    <t>1.6</t>
  </si>
  <si>
    <t>1.6.1</t>
  </si>
  <si>
    <t>17.02.020</t>
  </si>
  <si>
    <t>1.6.2</t>
  </si>
  <si>
    <t>17.02.120</t>
  </si>
  <si>
    <t>1.7</t>
  </si>
  <si>
    <t>1.7.1</t>
  </si>
  <si>
    <t>1.7.2</t>
  </si>
  <si>
    <t>1.7.3</t>
  </si>
  <si>
    <t>11.01.100</t>
  </si>
  <si>
    <t>1.7.4</t>
  </si>
  <si>
    <t>17.05.070</t>
  </si>
  <si>
    <t>1.8</t>
  </si>
  <si>
    <t>1.8.1</t>
  </si>
  <si>
    <t>34.02.100</t>
  </si>
  <si>
    <t>1.8.2</t>
  </si>
  <si>
    <t>15.05.530</t>
  </si>
  <si>
    <t>(Para fabricação das lápides)</t>
  </si>
  <si>
    <t>1.8.3</t>
  </si>
  <si>
    <t>(caminhos de placas de concreto 40x40x5 cm entre jazigos)</t>
  </si>
  <si>
    <t>1.9</t>
  </si>
  <si>
    <t>1.9.1</t>
  </si>
  <si>
    <t>32.17.010</t>
  </si>
  <si>
    <t>1.9.2</t>
  </si>
  <si>
    <t>32.16.010</t>
  </si>
  <si>
    <t>Custo TOTAL com BDI incluso</t>
  </si>
  <si>
    <t>Planilha Orçamentária Jazigos tamanho especial (1,30x2,30*0,86 )m</t>
  </si>
  <si>
    <t>Volume</t>
  </si>
  <si>
    <t>2.1</t>
  </si>
  <si>
    <t>2.1.1</t>
  </si>
  <si>
    <t>2.1.2</t>
  </si>
  <si>
    <t>2.1.3</t>
  </si>
  <si>
    <t>2.1.4</t>
  </si>
  <si>
    <t>2.1.5</t>
  </si>
  <si>
    <t>2.1.6</t>
  </si>
  <si>
    <t>2.2</t>
  </si>
  <si>
    <t>2.2.1</t>
  </si>
  <si>
    <t>2.2.2</t>
  </si>
  <si>
    <t>2.2.3</t>
  </si>
  <si>
    <t>2.2.4</t>
  </si>
  <si>
    <t>2.2.5</t>
  </si>
  <si>
    <t>2.2.6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</si>
  <si>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</si>
  <si>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</si>
  <si>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</si>
  <si>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</si>
  <si>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</si>
  <si>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</si>
  <si>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</si>
  <si>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</si>
  <si>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</si>
  <si>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2.5.3</t>
  </si>
  <si>
    <t>2.6</t>
  </si>
  <si>
    <t>2.6.1</t>
  </si>
  <si>
    <t>2.6.2</t>
  </si>
  <si>
    <t>2.7</t>
  </si>
  <si>
    <t>2.7.1</t>
  </si>
  <si>
    <t>2.7.2</t>
  </si>
  <si>
    <t>2.7.3</t>
  </si>
  <si>
    <t>2.8</t>
  </si>
  <si>
    <t>2.8.1</t>
  </si>
  <si>
    <t>2.8.2</t>
  </si>
  <si>
    <t>2.8.3</t>
  </si>
  <si>
    <t>Planilha Orçamentária Administração</t>
  </si>
  <si>
    <t>3.1</t>
  </si>
  <si>
    <t>3.1.1</t>
  </si>
  <si>
    <t>02.10.020</t>
  </si>
  <si>
    <t>3.1.2</t>
  </si>
  <si>
    <t>07.05.020</t>
  </si>
  <si>
    <t>3.1.3</t>
  </si>
  <si>
    <t>3.1.4</t>
  </si>
  <si>
    <t>07.12.040</t>
  </si>
  <si>
    <t>3.1.5</t>
  </si>
  <si>
    <t>3.2</t>
  </si>
  <si>
    <t>3.2.1</t>
  </si>
  <si>
    <t>3.2.2</t>
  </si>
  <si>
    <t>3.2.3</t>
  </si>
  <si>
    <t>3.2.4</t>
  </si>
  <si>
    <t>3.2.5</t>
  </si>
  <si>
    <t>3.2.6</t>
  </si>
  <si>
    <t>3.3</t>
  </si>
  <si>
    <t>3.3.1</t>
  </si>
  <si>
    <t>3.3.2</t>
  </si>
  <si>
    <t>3.3.3</t>
  </si>
  <si>
    <t>3.3.4</t>
  </si>
  <si>
    <t>13.01.120</t>
  </si>
  <si>
    <t>3.3.5</t>
  </si>
  <si>
    <t>Aço para armação negativa do balanço da laje.</t>
  </si>
  <si>
    <t>3.4</t>
  </si>
  <si>
    <t>3.4.1</t>
  </si>
  <si>
    <t>14.04.220</t>
  </si>
  <si>
    <t>3.4.2</t>
  </si>
  <si>
    <t>14.04.200</t>
  </si>
  <si>
    <t>3.5</t>
  </si>
  <si>
    <t>3.5.1</t>
  </si>
  <si>
    <t>24.02.070</t>
  </si>
  <si>
    <t>(Portas internas inclusive dos sanitários)</t>
  </si>
  <si>
    <t>3.6</t>
  </si>
  <si>
    <t>3.6.1</t>
  </si>
  <si>
    <t>15.03.110</t>
  </si>
  <si>
    <t>3.6.2</t>
  </si>
  <si>
    <t>16.12.020</t>
  </si>
  <si>
    <t>3.6.3</t>
  </si>
  <si>
    <t>16.33.040</t>
  </si>
  <si>
    <t>3.6.4</t>
  </si>
  <si>
    <t>16.33.020</t>
  </si>
  <si>
    <t>3.6.5</t>
  </si>
  <si>
    <t>3.6.6</t>
  </si>
  <si>
    <t>3.6.7</t>
  </si>
  <si>
    <t>3.7</t>
  </si>
  <si>
    <t>3.7.1</t>
  </si>
  <si>
    <t>46.01.020</t>
  </si>
  <si>
    <t>3.7.2</t>
  </si>
  <si>
    <t>46.01.050</t>
  </si>
  <si>
    <t>3.7.3</t>
  </si>
  <si>
    <t>46.02.010</t>
  </si>
  <si>
    <t>3.7.4</t>
  </si>
  <si>
    <t>46.02.050</t>
  </si>
  <si>
    <t>3.7.5</t>
  </si>
  <si>
    <t>46.02.070</t>
  </si>
  <si>
    <t>3.7.6</t>
  </si>
  <si>
    <t>49.01.030</t>
  </si>
  <si>
    <t>3.7.7</t>
  </si>
  <si>
    <t>49.04.010</t>
  </si>
  <si>
    <t>3.7.8</t>
  </si>
  <si>
    <t>49.03.020</t>
  </si>
  <si>
    <t>3.7.9</t>
  </si>
  <si>
    <t>3.7.10</t>
  </si>
  <si>
    <t>44.03.480</t>
  </si>
  <si>
    <t>3.7.11</t>
  </si>
  <si>
    <t>44.03.470</t>
  </si>
  <si>
    <t>3.7.12</t>
  </si>
  <si>
    <t>44.03.450</t>
  </si>
  <si>
    <t>3.7.13</t>
  </si>
  <si>
    <t>48.05.010</t>
  </si>
  <si>
    <t>3.7.14</t>
  </si>
  <si>
    <t>47.01.020</t>
  </si>
  <si>
    <t>3.7.15</t>
  </si>
  <si>
    <t>47.01.050</t>
  </si>
  <si>
    <t>3.7.16</t>
  </si>
  <si>
    <t>47.04.040</t>
  </si>
  <si>
    <t>3.7.17</t>
  </si>
  <si>
    <t>44.20.150</t>
  </si>
  <si>
    <t>3.7.18</t>
  </si>
  <si>
    <t>Atenção: - neste serviço inclusos, vaso adaptado (com assento e ducha higiênica), lavatório, barras de apoio e demais acessórios.</t>
  </si>
  <si>
    <t>3.7.19</t>
  </si>
  <si>
    <t>44.01.050</t>
  </si>
  <si>
    <t>3.7.20</t>
  </si>
  <si>
    <t>44.20.280</t>
  </si>
  <si>
    <t>3.7.21</t>
  </si>
  <si>
    <t>44.01.850</t>
  </si>
  <si>
    <t>3.7.22</t>
  </si>
  <si>
    <t>44.01.370</t>
  </si>
  <si>
    <t>3.7.23</t>
  </si>
  <si>
    <t>44.02.210</t>
  </si>
  <si>
    <t>3.7.24</t>
  </si>
  <si>
    <t>44.06.300</t>
  </si>
  <si>
    <t>3.7.25</t>
  </si>
  <si>
    <t>44.03.040</t>
  </si>
  <si>
    <t>3.7.26</t>
  </si>
  <si>
    <t>44.03.050</t>
  </si>
  <si>
    <t>3.7.27</t>
  </si>
  <si>
    <t>3.7.28</t>
  </si>
  <si>
    <t>3.7.29</t>
  </si>
  <si>
    <t>3.7.30</t>
  </si>
  <si>
    <t>3.7.31</t>
  </si>
  <si>
    <t>3.8</t>
  </si>
  <si>
    <t>PONTOS ELÉTRICOS</t>
  </si>
  <si>
    <t>3.8.1</t>
  </si>
  <si>
    <t>41.10.400</t>
  </si>
  <si>
    <t>3.8.2</t>
  </si>
  <si>
    <t>41.11.110</t>
  </si>
  <si>
    <t>3.8.3</t>
  </si>
  <si>
    <t>41.05.220</t>
  </si>
  <si>
    <t>3.8.4</t>
  </si>
  <si>
    <t>41.08.440</t>
  </si>
  <si>
    <t>3.8.5</t>
  </si>
  <si>
    <t>41.04.040</t>
  </si>
  <si>
    <t>3.8.6</t>
  </si>
  <si>
    <t>3.8.7</t>
  </si>
  <si>
    <t>41.13.200</t>
  </si>
  <si>
    <t>3.8.8</t>
  </si>
  <si>
    <t>41.07.440</t>
  </si>
  <si>
    <t>3.8.9</t>
  </si>
  <si>
    <t>41.14.280</t>
  </si>
  <si>
    <t>3.8.10</t>
  </si>
  <si>
    <t>41.09.750</t>
  </si>
  <si>
    <t>3.8.11</t>
  </si>
  <si>
    <t>41.07.070</t>
  </si>
  <si>
    <t>3.8.12</t>
  </si>
  <si>
    <t>50.05.260</t>
  </si>
  <si>
    <t>3.8.13</t>
  </si>
  <si>
    <t>40.04.450</t>
  </si>
  <si>
    <t>3.8.14</t>
  </si>
  <si>
    <t>40.05.020</t>
  </si>
  <si>
    <t>3.8.15</t>
  </si>
  <si>
    <t>40.05.060</t>
  </si>
  <si>
    <t>3.8.16</t>
  </si>
  <si>
    <t>40.07.010</t>
  </si>
  <si>
    <t>3.8.17</t>
  </si>
  <si>
    <t>40.07.040</t>
  </si>
  <si>
    <t>CABOS E ELETRODUTOS</t>
  </si>
  <si>
    <t>3.8.18</t>
  </si>
  <si>
    <t>38.19.030</t>
  </si>
  <si>
    <t>3.8.19</t>
  </si>
  <si>
    <t>38.13.010</t>
  </si>
  <si>
    <t>3.8.20</t>
  </si>
  <si>
    <t>39.03.160</t>
  </si>
  <si>
    <t>3.8.21</t>
  </si>
  <si>
    <t>39.03.170</t>
  </si>
  <si>
    <t>QUADROS E DISJUNTORES</t>
  </si>
  <si>
    <t>3.8.22</t>
  </si>
  <si>
    <t>37.03.210</t>
  </si>
  <si>
    <t>3.8.23</t>
  </si>
  <si>
    <t>37.10.010</t>
  </si>
  <si>
    <t>3.8.24</t>
  </si>
  <si>
    <t>37.13.600</t>
  </si>
  <si>
    <t>3.8.25</t>
  </si>
  <si>
    <t>37.13.630</t>
  </si>
  <si>
    <t>3.8.26</t>
  </si>
  <si>
    <t>37.13.640</t>
  </si>
  <si>
    <t>TELEFONIA</t>
  </si>
  <si>
    <t>3.8.27</t>
  </si>
  <si>
    <t>40.04.090</t>
  </si>
  <si>
    <t>3.8.28</t>
  </si>
  <si>
    <t>3.8.29</t>
  </si>
  <si>
    <t>39.11.090</t>
  </si>
  <si>
    <t>3.8.30</t>
  </si>
  <si>
    <t>38.19.020</t>
  </si>
  <si>
    <t>3.9</t>
  </si>
  <si>
    <t>3.9.1</t>
  </si>
  <si>
    <t>3.9.2</t>
  </si>
  <si>
    <t>3.10</t>
  </si>
  <si>
    <t>3.10.1</t>
  </si>
  <si>
    <t>3.10.2</t>
  </si>
  <si>
    <t>17.02.140</t>
  </si>
  <si>
    <t>3.10.3</t>
  </si>
  <si>
    <t>3.10.4</t>
  </si>
  <si>
    <t>18.11.110</t>
  </si>
  <si>
    <t>3.10.5</t>
  </si>
  <si>
    <t>18.11.220</t>
  </si>
  <si>
    <t>3.11</t>
  </si>
  <si>
    <t>3.11.1</t>
  </si>
  <si>
    <t>3.11.2</t>
  </si>
  <si>
    <t>3.11.3</t>
  </si>
  <si>
    <t>3.11.4</t>
  </si>
  <si>
    <t>17.03.020</t>
  </si>
  <si>
    <t>3.11.5</t>
  </si>
  <si>
    <t>3.11.6</t>
  </si>
  <si>
    <t>3.11.7</t>
  </si>
  <si>
    <t>3.11.8</t>
  </si>
  <si>
    <t>19.01.390</t>
  </si>
  <si>
    <t>(Neste item estão inclusos soleiras e peitoris)</t>
  </si>
  <si>
    <t>3.11.9</t>
  </si>
  <si>
    <t>(Concreto para calçamento da área externa e jardim na administração com 8 cm de espessura em média)</t>
  </si>
  <si>
    <t>3.11.10</t>
  </si>
  <si>
    <t>3.12</t>
  </si>
  <si>
    <t>3.12.1</t>
  </si>
  <si>
    <t>26.02.060</t>
  </si>
  <si>
    <t>3.12.2</t>
  </si>
  <si>
    <t>28.20.590</t>
  </si>
  <si>
    <t>3.12.3</t>
  </si>
  <si>
    <t>28.20.600</t>
  </si>
  <si>
    <t>3.12.4</t>
  </si>
  <si>
    <t>28.20.650</t>
  </si>
  <si>
    <t>3.12.5</t>
  </si>
  <si>
    <t>28.20.760</t>
  </si>
  <si>
    <t>3.12.6</t>
  </si>
  <si>
    <t>28.20.770</t>
  </si>
  <si>
    <t>3.12.7</t>
  </si>
  <si>
    <t>28.20.220</t>
  </si>
  <si>
    <t>3.12.8</t>
  </si>
  <si>
    <t>28.20.230</t>
  </si>
  <si>
    <t>3.12.9</t>
  </si>
  <si>
    <t>28.01.020</t>
  </si>
  <si>
    <t>3.13</t>
  </si>
  <si>
    <t>3.13.1</t>
  </si>
  <si>
    <t>33.10.030</t>
  </si>
  <si>
    <t>3.13.2</t>
  </si>
  <si>
    <t>33.11.020</t>
  </si>
  <si>
    <t>3.13.3</t>
  </si>
  <si>
    <t>33.06.020</t>
  </si>
  <si>
    <t>3.14</t>
  </si>
  <si>
    <t>3.14.1</t>
  </si>
  <si>
    <t>05.07.040</t>
  </si>
  <si>
    <t>3.14.2</t>
  </si>
  <si>
    <t>97.02.190</t>
  </si>
  <si>
    <t>3.14.3</t>
  </si>
  <si>
    <t>55.01.020</t>
  </si>
  <si>
    <t>Planilha Orçamentária Depósito e Serviços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</si>
  <si>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</si>
  <si>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</si>
  <si>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</si>
  <si>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</si>
  <si>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</si>
  <si>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</si>
  <si>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</si>
  <si>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</si>
  <si>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</si>
  <si>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</si>
  <si>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</si>
  <si>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</si>
  <si>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</si>
  <si>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4.3.1</t>
  </si>
  <si>
    <t>4.3.2</t>
  </si>
  <si>
    <t>4.3.3</t>
  </si>
  <si>
    <t>4.3.4</t>
  </si>
  <si>
    <t>4.4</t>
  </si>
  <si>
    <t>4.4.1</t>
  </si>
  <si>
    <t>4.5</t>
  </si>
  <si>
    <t>4.5.1</t>
  </si>
  <si>
    <t>4.5.2</t>
  </si>
  <si>
    <t>24.01.030</t>
  </si>
  <si>
    <t>4.6</t>
  </si>
  <si>
    <t>4.6.1</t>
  </si>
  <si>
    <t>15.01.020</t>
  </si>
  <si>
    <t>4.6.2</t>
  </si>
  <si>
    <t>16.02.030</t>
  </si>
  <si>
    <t>4.7</t>
  </si>
  <si>
    <t>4.7.1</t>
  </si>
  <si>
    <t>4.7.2</t>
  </si>
  <si>
    <t>4.7.3</t>
  </si>
  <si>
    <t>4.7.4</t>
  </si>
  <si>
    <t>4.7.5</t>
  </si>
  <si>
    <t>4.7.6</t>
  </si>
  <si>
    <t>4.7.7</t>
  </si>
  <si>
    <t>4.7.8</t>
  </si>
  <si>
    <t>44.20.220</t>
  </si>
  <si>
    <t>4.7.9</t>
  </si>
  <si>
    <t>4.7.10</t>
  </si>
  <si>
    <t>4.7.11</t>
  </si>
  <si>
    <t>4.7.12</t>
  </si>
  <si>
    <t>44.03.400</t>
  </si>
  <si>
    <t>4.7.13</t>
  </si>
  <si>
    <t>4.7.14</t>
  </si>
  <si>
    <t>4.7.15</t>
  </si>
  <si>
    <t>47.01.130</t>
  </si>
  <si>
    <t>4.7.16</t>
  </si>
  <si>
    <t>4.7.17</t>
  </si>
  <si>
    <t>4.7.18</t>
  </si>
  <si>
    <t>4.7.19</t>
  </si>
  <si>
    <t>4.7.20</t>
  </si>
  <si>
    <t>44.01.200</t>
  </si>
  <si>
    <t>4.7.21</t>
  </si>
  <si>
    <t>44.02.060</t>
  </si>
  <si>
    <t>(Inclusos bancadas dos lavatórios e trocador)</t>
  </si>
  <si>
    <t>4.7.22</t>
  </si>
  <si>
    <t>44.01.270</t>
  </si>
  <si>
    <t>4.7.23</t>
  </si>
  <si>
    <t>47.04.090</t>
  </si>
  <si>
    <t>4.7.24</t>
  </si>
  <si>
    <t>44.20.130</t>
  </si>
  <si>
    <t>4.7.25</t>
  </si>
  <si>
    <t>4.7.26</t>
  </si>
  <si>
    <t>4.7.27</t>
  </si>
  <si>
    <t>28.01.070</t>
  </si>
  <si>
    <t>4.7.28</t>
  </si>
  <si>
    <t>30.03.040</t>
  </si>
  <si>
    <t>4.7.29</t>
  </si>
  <si>
    <t>4.7.30</t>
  </si>
  <si>
    <t>43.02.140</t>
  </si>
  <si>
    <t>4.7.31</t>
  </si>
  <si>
    <t>4.7.32</t>
  </si>
  <si>
    <t>4.7.33</t>
  </si>
  <si>
    <t>4.8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</si>
  <si>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</si>
  <si>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</si>
  <si>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</si>
  <si>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</si>
  <si>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</si>
  <si>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</si>
  <si>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</si>
  <si>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</si>
  <si>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40.20.120</t>
  </si>
  <si>
    <t>4.8.9</t>
  </si>
  <si>
    <t>4.8.10</t>
  </si>
  <si>
    <t>40.05.040</t>
  </si>
  <si>
    <t>4.8.11</t>
  </si>
  <si>
    <t>4.8.12</t>
  </si>
  <si>
    <t>4.8.13</t>
  </si>
  <si>
    <t>4.8.14</t>
  </si>
  <si>
    <t>4.8.15</t>
  </si>
  <si>
    <t>4.8.16</t>
  </si>
  <si>
    <t>39.03.020</t>
  </si>
  <si>
    <t>4.8.17</t>
  </si>
  <si>
    <t>37.03.200</t>
  </si>
  <si>
    <t>4.8.18</t>
  </si>
  <si>
    <t>4.8.19</t>
  </si>
  <si>
    <t>4.8.20</t>
  </si>
  <si>
    <t>4.8.21</t>
  </si>
  <si>
    <t>4.8.22</t>
  </si>
  <si>
    <t>37.17.070</t>
  </si>
  <si>
    <t>4.9</t>
  </si>
  <si>
    <t>4.9.1</t>
  </si>
  <si>
    <t>4.9.2</t>
  </si>
  <si>
    <t>4.10</t>
  </si>
  <si>
    <t>4.10.1</t>
  </si>
  <si>
    <t>4.10.2</t>
  </si>
  <si>
    <t>4.10.3</t>
  </si>
  <si>
    <t>4.10.4</t>
  </si>
  <si>
    <t>4.10.5</t>
  </si>
  <si>
    <t>4.11</t>
  </si>
  <si>
    <t>4.11.1</t>
  </si>
  <si>
    <t>4.11.2</t>
  </si>
  <si>
    <t>4.11.3</t>
  </si>
  <si>
    <t>4.11.4</t>
  </si>
  <si>
    <t>4.11.5</t>
  </si>
  <si>
    <t>18.06.020</t>
  </si>
  <si>
    <t>4.11.6</t>
  </si>
  <si>
    <t>18.06.030</t>
  </si>
  <si>
    <t>4.11.7</t>
  </si>
  <si>
    <t>19.01.060</t>
  </si>
  <si>
    <t>(Neste item estão inclusos soleiras e peitoris. As soleiras da varanda terão 10 cm de largura)</t>
  </si>
  <si>
    <t>4.12</t>
  </si>
  <si>
    <t>4.12.1</t>
  </si>
  <si>
    <t>26.01.020</t>
  </si>
  <si>
    <t>4.13</t>
  </si>
  <si>
    <t>4.13.1</t>
  </si>
  <si>
    <t>4.13.2</t>
  </si>
  <si>
    <t>4.13.3</t>
  </si>
  <si>
    <t>4.14</t>
  </si>
  <si>
    <t>4.14.1</t>
  </si>
  <si>
    <t>4.14.2</t>
  </si>
  <si>
    <t>Planilha Orçamentária Area Externa</t>
  </si>
  <si>
    <t>PR.UNIT. (R$) s/ BDI</t>
  </si>
  <si>
    <t>PR. UNIT. (R$) c/ BDI</t>
  </si>
  <si>
    <t>5.1</t>
  </si>
  <si>
    <t>5.1.1</t>
  </si>
  <si>
    <t>LIPEZA TOTAL DAS ÁREAS À CONSTRUIR E JARDIM SEM OS JAZIGOS.</t>
  </si>
  <si>
    <t>5.1.5</t>
  </si>
  <si>
    <t>5.2</t>
  </si>
  <si>
    <t>5.2.1</t>
  </si>
  <si>
    <t>5.2.2</t>
  </si>
  <si>
    <t>46.12.010</t>
  </si>
  <si>
    <t>5.2.3</t>
  </si>
  <si>
    <t>46.12.020</t>
  </si>
  <si>
    <t>5.2.4</t>
  </si>
  <si>
    <t>5.2.5</t>
  </si>
  <si>
    <t>5.2.6</t>
  </si>
  <si>
    <t>5.2.7</t>
  </si>
  <si>
    <t>06.01.020</t>
  </si>
  <si>
    <t>5.2.8</t>
  </si>
  <si>
    <t>5.2.9</t>
  </si>
  <si>
    <t>5.2.10</t>
  </si>
  <si>
    <t>5.2.11</t>
  </si>
  <si>
    <t>5.2.12</t>
  </si>
  <si>
    <t>44.03.380</t>
  </si>
  <si>
    <t>5.2.13</t>
  </si>
  <si>
    <t>5.2.14</t>
  </si>
  <si>
    <t>5.3</t>
  </si>
  <si>
    <t>5.3.1</t>
  </si>
  <si>
    <t>14.02.070</t>
  </si>
  <si>
    <t>5.4</t>
  </si>
  <si>
    <t>5.4.1</t>
  </si>
  <si>
    <t>5.4.2</t>
  </si>
  <si>
    <t>41.10.470</t>
  </si>
  <si>
    <t>5.4.3</t>
  </si>
  <si>
    <t>41.10.280</t>
  </si>
  <si>
    <t>5.4.4</t>
  </si>
  <si>
    <t>41.11.160</t>
  </si>
  <si>
    <t>5.4.5</t>
  </si>
  <si>
    <t>41.05.240</t>
  </si>
  <si>
    <t>5.4.6</t>
  </si>
  <si>
    <t>41.08.450</t>
  </si>
  <si>
    <t>5.4.7</t>
  </si>
  <si>
    <t>5.4.8</t>
  </si>
  <si>
    <t>40.11.010</t>
  </si>
  <si>
    <t>5.4.9</t>
  </si>
  <si>
    <t>41.13.100</t>
  </si>
  <si>
    <t>5.4.10</t>
  </si>
  <si>
    <t>5.4.11</t>
  </si>
  <si>
    <t>5.4.12</t>
  </si>
  <si>
    <t>5.4.13</t>
  </si>
  <si>
    <t>38.13.020</t>
  </si>
  <si>
    <t>5.4.14</t>
  </si>
  <si>
    <t>5.4.15</t>
  </si>
  <si>
    <t>38.01.080</t>
  </si>
  <si>
    <t>5.4.16</t>
  </si>
  <si>
    <t>5.4.17</t>
  </si>
  <si>
    <t>39.03.030</t>
  </si>
  <si>
    <t>5.4.18</t>
  </si>
  <si>
    <t>39.03.050</t>
  </si>
  <si>
    <t>5.4.19</t>
  </si>
  <si>
    <t>39.03.070</t>
  </si>
  <si>
    <t>5.4.20</t>
  </si>
  <si>
    <t>5.4.21</t>
  </si>
  <si>
    <t>37.25.100</t>
  </si>
  <si>
    <t>5.4.22</t>
  </si>
  <si>
    <t>5.4.23</t>
  </si>
  <si>
    <t>39.11.110</t>
  </si>
  <si>
    <t>5.4.24</t>
  </si>
  <si>
    <t>38.01.040</t>
  </si>
  <si>
    <t>5.4.25</t>
  </si>
  <si>
    <t>38.19.210</t>
  </si>
  <si>
    <t>5.4.26</t>
  </si>
  <si>
    <t>5.5</t>
  </si>
  <si>
    <t>5.5.1</t>
  </si>
  <si>
    <t>5.5.2</t>
  </si>
  <si>
    <t>5.5.3</t>
  </si>
  <si>
    <t>5.6</t>
  </si>
  <si>
    <t>5.6.1</t>
  </si>
  <si>
    <t>5.6.2</t>
  </si>
  <si>
    <t>34.04.050</t>
  </si>
  <si>
    <t>5.6.3</t>
  </si>
  <si>
    <t>34.04.130</t>
  </si>
  <si>
    <t>5.6.4</t>
  </si>
  <si>
    <t>34.04.280</t>
  </si>
  <si>
    <t>5.6.5</t>
  </si>
  <si>
    <t>34.04.370</t>
  </si>
  <si>
    <t>5.6.6</t>
  </si>
  <si>
    <t>97.05.140</t>
  </si>
  <si>
    <t>5.6.7</t>
  </si>
  <si>
    <t>5.6.8</t>
  </si>
  <si>
    <t>97.02.030</t>
  </si>
  <si>
    <t>5.6,9</t>
  </si>
  <si>
    <t>(monumento em concreto armado para assentamento de placa comemorativa)</t>
  </si>
  <si>
    <t>5.6.10</t>
  </si>
  <si>
    <t>67.02.340</t>
  </si>
  <si>
    <t>5.6.11</t>
  </si>
  <si>
    <t>67.02.330</t>
  </si>
  <si>
    <t>01.28.010</t>
  </si>
  <si>
    <t>CPOS</t>
  </si>
  <si>
    <t>Taxa de mobilização e desmobilização de equipamentos para execução de perfuração para poço profundo - profundidade até 200 m (POÇOS MONITORAMENTO - ÁGUAS SUBTERRANEAS)</t>
  </si>
  <si>
    <t>tx</t>
  </si>
  <si>
    <t>5.6.12</t>
  </si>
  <si>
    <t>01.28.040</t>
  </si>
  <si>
    <t>Perfuração rotativa para poço profundo em camadas de solos sedimentares, diâmetro de 8.1/2"" (215,90 mm)" (POÇOS MONITORAMENTO - ÁGUAS SUBTERRANEAS)</t>
  </si>
  <si>
    <t>m</t>
  </si>
  <si>
    <t>5.6.13</t>
  </si>
  <si>
    <t>01.28.260</t>
  </si>
  <si>
    <t>Revestimento interno de poço profundo tubo PVC geomecânico nervurado standard, diâmetro 6"(150 mm) (POÇOS MONITORAMENTO - ÁGUAS SUBTERRANEAS)</t>
  </si>
  <si>
    <t>5.6.14</t>
  </si>
  <si>
    <t>01.27.030</t>
  </si>
  <si>
    <t xml:space="preserve">Projeto e implementação de controle ambiental da obra (Licença de Operação) </t>
  </si>
  <si>
    <t>un</t>
  </si>
  <si>
    <t>5.6.15</t>
  </si>
  <si>
    <t>01.17.140</t>
  </si>
  <si>
    <t>5.6.16</t>
  </si>
  <si>
    <t>(Placas de concreto com identificação das ruas)</t>
  </si>
  <si>
    <t>TOTAIS:</t>
  </si>
  <si>
    <t>Módulos c/</t>
  </si>
  <si>
    <t>Jazigos</t>
  </si>
  <si>
    <t>CRONOGRAMA FÍSICO FINANCEIRO</t>
  </si>
  <si>
    <t>Item</t>
  </si>
  <si>
    <t>Etapas da Construção</t>
  </si>
  <si>
    <t>%</t>
  </si>
  <si>
    <t>1°  mês</t>
  </si>
  <si>
    <t>2°  mês</t>
  </si>
  <si>
    <t>3°  mês</t>
  </si>
  <si>
    <t>4°  mês</t>
  </si>
  <si>
    <t>5°  mês</t>
  </si>
  <si>
    <t>6°  mês</t>
  </si>
  <si>
    <t>7°  mês</t>
  </si>
  <si>
    <t>8°  mês</t>
  </si>
  <si>
    <t>9°  mês</t>
  </si>
  <si>
    <t>10°  mês</t>
  </si>
  <si>
    <t>11°  mês</t>
  </si>
  <si>
    <t>12°  mês</t>
  </si>
  <si>
    <t>13°  mês</t>
  </si>
  <si>
    <t>14°  mês</t>
  </si>
  <si>
    <t>15°  mês</t>
  </si>
  <si>
    <t>16°  mês</t>
  </si>
  <si>
    <t>17°  mês</t>
  </si>
  <si>
    <t>18°  mês</t>
  </si>
  <si>
    <t>Total/serv.</t>
  </si>
  <si>
    <t>TOTAL DAS ETAPAS / TOTAL GERAL</t>
  </si>
  <si>
    <t>TOTAL DAS ETAPAS ACOMULADO</t>
  </si>
  <si>
    <t>% executada por mês</t>
  </si>
  <si>
    <t>% executada acomulada</t>
  </si>
  <si>
    <t>SomaTotal Serv.</t>
  </si>
  <si>
    <t>Prazo para a execução da Obra: 18 (dezoito) meses.</t>
  </si>
  <si>
    <t>C</t>
  </si>
  <si>
    <t>SERVICOS PRELIMINARES</t>
  </si>
  <si>
    <t>INFRA ESTRUTURA</t>
  </si>
  <si>
    <t>SUPER ESTRUTURA</t>
  </si>
  <si>
    <t>ALVENARIA E OUTROS ELEMENTOS DIVISORIOS</t>
  </si>
  <si>
    <t>REVESTIMENTOS</t>
  </si>
  <si>
    <t>PISOS INTERNOS / RODAPES / PEITORIS</t>
  </si>
  <si>
    <t>F</t>
  </si>
  <si>
    <t>FDE</t>
  </si>
  <si>
    <t>SERVICOS COMPLEMENTARES</t>
  </si>
  <si>
    <t/>
  </si>
  <si>
    <t>IMPERMEABILIZACOES / JUNTAS DE DILATACAO</t>
  </si>
  <si>
    <t>ELEMENTOS METALICOS/COMPONENTES ESPECIAIS</t>
  </si>
  <si>
    <t>COBERTURA</t>
  </si>
  <si>
    <t>INSTALACOES HIDRAULICAS</t>
  </si>
  <si>
    <t>INSTALACOES ELETRICAS</t>
  </si>
  <si>
    <t>VIDROS</t>
  </si>
  <si>
    <t>PINTURA</t>
  </si>
  <si>
    <t>m²</t>
  </si>
  <si>
    <t>kg</t>
  </si>
  <si>
    <t>M2</t>
  </si>
  <si>
    <t>Impermeabilização em argamassa impermeável com aditivo hidrófugo</t>
  </si>
  <si>
    <t>Impermeabilização em pintura de asfalto oxidado com solventes orgânicos, sobre massa</t>
  </si>
  <si>
    <t>Placa de identificação para obra</t>
  </si>
  <si>
    <t>Limpeza mecanizada do terreno, inclusive troncos até 15 cm de diâmetro, com caminhão à disposição, dentro e fora da obra, com transporte no raio de até 1,0 km</t>
  </si>
  <si>
    <t>Locação de vias, calçadas, tanques e lagoas</t>
  </si>
  <si>
    <t>Escavação e carga mecanizada em solo de 1ª categoria, em campo aberto</t>
  </si>
  <si>
    <t>Aterro manual apiloado de área interna com maço de 30 kg</t>
  </si>
  <si>
    <t>Reaterro compactado mecanizado de vala ou cava com compactador</t>
  </si>
  <si>
    <t>Transporte de solo de 1ª e 2ª categoria por caminhão para distâncias superiores ao 10° km até o 15° km</t>
  </si>
  <si>
    <t>Escavação manual em solo de 1ª e 2ª categoria em vala ou cava até 1,50 m</t>
  </si>
  <si>
    <t>Broca em concreto armado diâmetro de 20 cm - completa</t>
  </si>
  <si>
    <t>Forma em madeira comum para fundação</t>
  </si>
  <si>
    <t>Armadura em barra de aço CA-50 (A ou B) fyk= 500 MPa</t>
  </si>
  <si>
    <t>Concreto usinado, fck = 25,0 MPa</t>
  </si>
  <si>
    <t>Lastro de pedra britada</t>
  </si>
  <si>
    <t>Forma em madeira comum para estrutura</t>
  </si>
  <si>
    <t>Alvenaria de bloco de concreto de vedação, uso revestido, de 9 cm</t>
  </si>
  <si>
    <t>Estrutura pré-fabricada de concreto</t>
  </si>
  <si>
    <t>Chapisco</t>
  </si>
  <si>
    <t>Emboço comum</t>
  </si>
  <si>
    <t>APILOAMENTO PARA SIMPLES REGULARIZACAO</t>
  </si>
  <si>
    <t>Concreto usinado, fck = 20,0 MPa</t>
  </si>
  <si>
    <t>Piso com requadro em concreto simples com controle fck = 20 MPa</t>
  </si>
  <si>
    <t>Plantio de grama esmeralda em placas (jardins e canteiros)</t>
  </si>
  <si>
    <t>Placas, vigas e pilares em concreto armado, pré-moldado - fck= 25 MPa</t>
  </si>
  <si>
    <t>M3</t>
  </si>
  <si>
    <t>M</t>
  </si>
  <si>
    <t>CJ</t>
  </si>
  <si>
    <t>UN</t>
  </si>
  <si>
    <t>cj</t>
  </si>
  <si>
    <t>Remoção de entulho separado de obra com caçamba metálica - terra, alvenaria, concreto, argamassa, madeira, papel, plástico ou metal</t>
  </si>
  <si>
    <t>Placa de identificação em acrílico com texto em vinil</t>
  </si>
  <si>
    <t>Limpeza final da obra</t>
  </si>
  <si>
    <t>Locação de obra de edificação</t>
  </si>
  <si>
    <t>Escavação e carga mecanizada em solo vegetal superficial</t>
  </si>
  <si>
    <t>Aterro mecanizado por compensação, solo de 1ª categoria em campo aberto, sem compactação do aterro</t>
  </si>
  <si>
    <t>ATERRO COM TRANSPORTE POR CAMINHAO NOS PRIMEIROS 100 M</t>
  </si>
  <si>
    <t>Laje pré-fabricada mista vigota treliçada/lajota cerâmica - LT 12 (8+4) e capa com concreto de 25MPa</t>
  </si>
  <si>
    <t>Alvenaria de bloco cerâmico de vedação, uso revestido, de 19 cm</t>
  </si>
  <si>
    <t>Alvenaria de bloco cerâmico de vedação, uso revestido, de 9 cm</t>
  </si>
  <si>
    <t>Porta de ferro de abrir tipo veneziana, linha comercial</t>
  </si>
  <si>
    <t>Fornecimento e montagem de estrutura em aço patinável, sem pintura</t>
  </si>
  <si>
    <t>Telhamento em chapa de aço pré-pintada com epóxi e poliéster, perfil ondulado, com espessura de 0,50 mm</t>
  </si>
  <si>
    <t>Calha, rufo, afins em chapa galvanizada nº 24 - corte 0,50 m</t>
  </si>
  <si>
    <t>Calha, rufo, afins em chapa galvanizada nº 24 - corte 0,33 m</t>
  </si>
  <si>
    <t>TUBO DE FERRO FUNDIDO DN 100MM (4") - INCLUSIVE CONEXOES</t>
  </si>
  <si>
    <t>CA-21 CANALETA DE AGUAS PLUVIAIS EM CONCRETO (20CM)</t>
  </si>
  <si>
    <t>TC-04 TAMPA DE CONCRETO P/ CANALETA AP (25CM)</t>
  </si>
  <si>
    <t>Tubo de PVC rígido soldável marrom, DN= 25 mm, (3/4´), inclusive conexões</t>
  </si>
  <si>
    <t>Tubo de PVC rígido soldável marrom, DN= 50 mm, (1 1/2´), inclusive conexões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</si>
  <si>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</si>
  <si>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</si>
  <si>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100 mm, inclusive conexões</t>
  </si>
  <si>
    <t>Caixa sifonada de PVC rígido de 150 x 150 x 50 mm, com grelha</t>
  </si>
  <si>
    <t>Ralo seco em PVC rígido de 100 x 40 mm, com grelha</t>
  </si>
  <si>
    <t>Caixa de gordura em alvenaria, 60 x 60 x 60 cm</t>
  </si>
  <si>
    <t>CAIXA DE ALVENARIA - PAREDE DE 1 TIJOLO REVESTIDO</t>
  </si>
  <si>
    <t>Torneira de mesa para lavatório compacta, acionamento hidromecânico, em latão cromado, DN= 1/2´</t>
  </si>
  <si>
    <t>Torneira de parede para pia com bica móvel e arejador, em latão fundido cromado</t>
  </si>
  <si>
    <t>Torneira longa sem rosca para uso geral, em latão fundido cromado</t>
  </si>
  <si>
    <t>Torneira de boia, DN= 3/4´</t>
  </si>
  <si>
    <t>Registro de gaveta em latão fundido sem acabamento, DN= 3/4´</t>
  </si>
  <si>
    <t>Registro de gaveta em latão fundido sem acabamento, DN= 1 1/2´</t>
  </si>
  <si>
    <t>Válvula de descarga com registro próprio, DN= 1 1/2´</t>
  </si>
  <si>
    <t>Acabamento cromado para registro</t>
  </si>
  <si>
    <t>BR-03  CONJUNTO LAVATORIO E BACIA ACESSIVEIS</t>
  </si>
  <si>
    <t>Bacia sifonada de louça sem tampa - 6 litros</t>
  </si>
  <si>
    <t>Tampa de plástico para bacia sanitária</t>
  </si>
  <si>
    <t>Cuba de louça de embutir redonda</t>
  </si>
  <si>
    <t>Tanque em granito sintético, linha comercial - sem pertences</t>
  </si>
  <si>
    <t>Tampo/bancada em granito amêndoa, espessura de 2 cm</t>
  </si>
  <si>
    <t>Cuba em aço inoxidável simples de 400x340x140mm</t>
  </si>
  <si>
    <t>Saboneteira de louça de embutir</t>
  </si>
  <si>
    <t>Dispenser papel higiênico em ABS para rolão 300 / 600 m, com visor</t>
  </si>
  <si>
    <t>EXTINTOR MANUAL PO QUIMICO SECO C/ CAPACIDADE DE 12KG</t>
  </si>
  <si>
    <t>EXTINTORES MANUAIS DE AGUA PRESSURIZADA CAP DE 10 L</t>
  </si>
  <si>
    <t>CAIXA DÁGUA CÔNICA POLIETILENO CAPACIDADE DE 1000L INCLUSIVE TAMPA</t>
  </si>
  <si>
    <t>DV-02 DIVISORIA DE GRANILITE - LATERAL FECHADA</t>
  </si>
  <si>
    <t>DV-03 DIVISORIA DE GRANILITE - FRONTAL</t>
  </si>
  <si>
    <t>Poste telecônico em aço SAE 1010/1020 galvanizado a fogo, com espera para uma luminária, altura de 3,00 m</t>
  </si>
  <si>
    <t>Luminária retangular fechada para iluminação externa em poste, tipo pétala pequena</t>
  </si>
  <si>
    <t>Lâmpada de vapor de sódio elipsoidal ou tubular, base E40 de 150 W</t>
  </si>
  <si>
    <t>Reator eletromagnético de alto fator de potência, para lâmpada vapor metálico 150 W / 220 V</t>
  </si>
  <si>
    <t>Receptáculo de porcelana com parafuso de fixação com rosca E-40</t>
  </si>
  <si>
    <t>CAIXA DE PASSAGEM EM ALVENARIA DE 0,40X0,40X0,40 M</t>
  </si>
  <si>
    <t>Luminária blindada, oval, de sobrepor ou arandela para lâmpada fluorescentes compacta</t>
  </si>
  <si>
    <t>Lâmpada fluorescente compacta eletrônica "3U", base E27 de 23 W - 110 ou 220 V</t>
  </si>
  <si>
    <t>Luminária retangular de sobrepor tipo calha aberta com refletor em chapa de aço pintada para 2 lâmpadas fluorescentes tubulares 32/36W</t>
  </si>
  <si>
    <t>Reator eletrônico de alto fator de potência com partida instantânea, para duas lâmpadas fluorescentes tubulares, base bipino bilateral, 32 W - 127 V / 220 V</t>
  </si>
  <si>
    <t>Lâmpada fluorescente tubular, base bipino bilateral de 32 W</t>
  </si>
  <si>
    <t>Bloco autônomo de iluminação de emergência com autonomia mínima de 1 hora, equipado com 2 lâmpadas de 11 W</t>
  </si>
  <si>
    <t>Tomada 2P+T de 10 A - 250 V, completa</t>
  </si>
  <si>
    <t>Interruptor com 1 tecla simples e placa</t>
  </si>
  <si>
    <t>Interruptor com 3 teclas simples e placa</t>
  </si>
  <si>
    <t>Caixa em PVC de 4´ x 2´</t>
  </si>
  <si>
    <t>Caixa em PVC octogonal de 4´ x 4´</t>
  </si>
  <si>
    <t>Eletroduto de PVC corrugado flexível leve, diâmetro externo de 25 mm</t>
  </si>
  <si>
    <t>Eletroduto corrugado em polietileno de alta densidade, DN= 30 mm, com acessórios</t>
  </si>
  <si>
    <t>Cabo de cobre de 1,5 mm², isolamento 0,6/1 kV - isolação em PVC 70°C</t>
  </si>
  <si>
    <t>Cabo de cobre de 2,5 mm², isolamento 0,6/1 kV - isolação em PVC 70°C</t>
  </si>
  <si>
    <t>Quadro de distribuição universal de embutir, para disjuntores 24 DIN / 18 Bolt-on - 150 A - sem componentes</t>
  </si>
  <si>
    <t>Barramento de cobre nu</t>
  </si>
  <si>
    <t>Disjuntor termomagnético, unipolar 127/220 V, corrente de 10 A até 30 A</t>
  </si>
  <si>
    <t>Disjuntor termomagnético, bipolar 220/380 V, corrente de 10 A até 50 A</t>
  </si>
  <si>
    <t>Disjuntor termomagnético, bipolar 220/380 V, corrente de 60 A até 100 A</t>
  </si>
  <si>
    <t>Tomada RJ 11 para telefone, sem placa</t>
  </si>
  <si>
    <t>Fio telefônico tipo FI-60, para ligação de aparelhos telefônicos</t>
  </si>
  <si>
    <t>Eletroduto de PVC corrugado flexível leve, diâmetro externo de 20 mm</t>
  </si>
  <si>
    <t>Emboço desempenado com espuma de poliéster</t>
  </si>
  <si>
    <t>Revestimento em placa cerâmica esmaltada para paredes de 20 x 20 cm, assentado com argamassa AC-II colante industrializada</t>
  </si>
  <si>
    <t>Rejuntamento de cerâmica esmaltada de 20 x 20 cm com cimento branco, juntas até 3 mm</t>
  </si>
  <si>
    <t>Cimentado desempenado</t>
  </si>
  <si>
    <t>GRANILITE CINZA / CIMENTO COMUM 8MM C/ POLIMENTO</t>
  </si>
  <si>
    <t>RODAPES DE GRANILITE SIMPLES DE 10 CM</t>
  </si>
  <si>
    <t>TRATAMENTO SELADOR PARA GRANILITE - BASE AGUA</t>
  </si>
  <si>
    <t>Peitoril e/ou soleira em granito com espessura de 2 cm e largura de 21 até 30 cm</t>
  </si>
  <si>
    <t>Vidro temperado incolor de 10 mm</t>
  </si>
  <si>
    <t>Contra fechadura de centro para porta em vidro temperado</t>
  </si>
  <si>
    <t>Fechadura de centro com cilindro para porta em vidro temperado</t>
  </si>
  <si>
    <t>Puxador duplo em aço inoxidável, para porta de madeira, alumínio ou vidro, de 350 mm</t>
  </si>
  <si>
    <t>Espelho para trinco de piso para porta em vidro temperado</t>
  </si>
  <si>
    <t>Trinco de piso para porta em vidro temperado</t>
  </si>
  <si>
    <t>Dobradiça inferior para porta de vidro temperado</t>
  </si>
  <si>
    <t>Dobradiça superior para porta de vidro temperado</t>
  </si>
  <si>
    <t>Ferragem completa com maçaneta tipo alavanca para porta externa com 1 folha</t>
  </si>
  <si>
    <t>Tinta acrílica antimofo em massa, inclusive preparo</t>
  </si>
  <si>
    <t>Esmalte em superfície metálica, inclusive preparo</t>
  </si>
  <si>
    <t>Acrílico para quadras e pisos cimentados</t>
  </si>
  <si>
    <t>Caixilho em ferro basculante, sob medida</t>
  </si>
  <si>
    <t>Estrutura de madeira tesourada para telha de barro - vãos de 7,01 a 10,00 m</t>
  </si>
  <si>
    <t>Telha de barro tipo romana</t>
  </si>
  <si>
    <t>Sifão de metal cromado de 1´ x 1 1/2´</t>
  </si>
  <si>
    <t>Torneira curta com rosca para uso geral, em latão fundido cromado, DN= 3/4´</t>
  </si>
  <si>
    <t>Registro de pressão em latão fundido sem acabamento, DN= 3/4´</t>
  </si>
  <si>
    <t>Mictório de louça sifonado auto aspirante</t>
  </si>
  <si>
    <t>Tampo/bancada em granito com espessura de 3 cm</t>
  </si>
  <si>
    <t>Cuba de louça de embutir oval</t>
  </si>
  <si>
    <t>Válvula de mictório antivandalismo, DN= 3/4´</t>
  </si>
  <si>
    <t>Tubo de ligação para mictório, DN= 1/2´</t>
  </si>
  <si>
    <t>Ferragem completa para porta de box de WC tipo livre/ocupado</t>
  </si>
  <si>
    <t>Bebedouro elétrico de pressão em aço inoxidável, capacidade de refrigeração de 16,6 l/h</t>
  </si>
  <si>
    <t>Chuveiro elétrico de 5500 W / 220 V em PVC</t>
  </si>
  <si>
    <t>Placa de 4´ x 2´</t>
  </si>
  <si>
    <t>Interruptor com 2 teclas simples e placa</t>
  </si>
  <si>
    <t>Cabo de cobre de 4 mm², isolamento 0,6/1 kV - isolação em PVC 70°C</t>
  </si>
  <si>
    <t>Quadro de distribuição universal de embutir, para disjuntores 16 DIN / 12 Bolt-on - 150 A - sem componentes</t>
  </si>
  <si>
    <t>Dispositivo diferencial residual de 40 A x 30 mA - 2 polos</t>
  </si>
  <si>
    <t>Piso cerâmico esmaltado PEI-4 resistência química A, para áreas internas sujeitas à lavagem frequente, assentado com argamassa colante industrializada</t>
  </si>
  <si>
    <t>Rodapé cerâmico esmaltado PEI-4 resistência química A, para áreas internas sujeitas à lavagem frequente, assentado com argamassa mista</t>
  </si>
  <si>
    <t>Peitoril e/ou soleira em granito com espessura de 2 cm e largura até 20 cm</t>
  </si>
  <si>
    <t>Vidro liso transparente de 3 mm</t>
  </si>
  <si>
    <t>Árvore ornamental tipo Pata de Vaca - h= 2,00 m</t>
  </si>
  <si>
    <t>Árvore ornamental tipo Ipê Amarelo - h= 2,00 m</t>
  </si>
  <si>
    <t>Árvore ornamental tipo Manacá-da-serra</t>
  </si>
  <si>
    <t>Árvore ornamental tipo Quaresmeira (Tibouchina granulosa) - h= 1,50 / 2,00 m</t>
  </si>
  <si>
    <t>Suporte de perfil metálico galvanizado</t>
  </si>
  <si>
    <t>Placa comemorativa em aço inoxidável escovado</t>
  </si>
  <si>
    <t>Estação de tratamento de esgoto, vazão média 60 m³/dia, tratamento conforme Artigo 18</t>
  </si>
  <si>
    <t>Sistema de tratamento de águas cinzas e aproveitamento de águas pluviais, para reuso em fins não potáveis, vazão de 2,00 m³/h</t>
  </si>
  <si>
    <t>AC-04 ABRIGO E CAVALETE DE 3/4" COMPLETO 85X65X30CM</t>
  </si>
  <si>
    <t>Tubo de concreto (PS-1), DN= 300mm</t>
  </si>
  <si>
    <t>Tubo de concreto (PS-1), DN= 400mm</t>
  </si>
  <si>
    <t>CAIXA DE ALVENARIA - LASTRO DE CONCRETO</t>
  </si>
  <si>
    <t>CAIXA DE ALVENARIA - PAREDE DE 1/2 TIJOLO REVESTIDO</t>
  </si>
  <si>
    <t>CAIXA DE ALVENARIA - TAMPA DE CONCRETO</t>
  </si>
  <si>
    <t>Escavação manual em solo de 1ª e 2ª categoria em campo aberto</t>
  </si>
  <si>
    <t>Torneira curta com rosca para uso geral, em latão fundido sem acabamento, DN= 3/4´</t>
  </si>
  <si>
    <t>LT-04 LAVATORIO /BEBEDOURO COLETIVO COM TORNEIRA ANTIVANDALISMO</t>
  </si>
  <si>
    <t>FILTRO PRESSAO CUNO (AQUALAR)C/ELEM FILTRANTE CARVAO E CEL 360/L/H</t>
  </si>
  <si>
    <t>Alvenaria de elevação de 1/2 tijolo maciço aparente</t>
  </si>
  <si>
    <t>AE-20 ABRIGO E ENTRADA DE ENERGIA (CAIXAS III OU
V):BANDEIRANTE/CPFL/ELEKTRO</t>
  </si>
  <si>
    <t>Poste telecônico curvo duplo para duas luminárias, em aço SAE 1010/1020 galvanizado a fogo, altura de 10,00 metros</t>
  </si>
  <si>
    <t>Poste telecônico curvo em aço SAE 1010/1020 galvanizado a fogo, altura de 10,00 m</t>
  </si>
  <si>
    <t>Luminária pública fechada tipo pétala, com alojamento para reator, com abertura na parte superior</t>
  </si>
  <si>
    <t>Lâmpada de vapor de sódio elipsoidal ou tubular, base E40 de 250 W</t>
  </si>
  <si>
    <t>Reator eletromagnético de alto fator de potência, para lâmpada vapor metálico 250 W / 220 V</t>
  </si>
  <si>
    <t>Relé fotoelétrico 50/60 Hz 110/220 V - 1200 VA, completo</t>
  </si>
  <si>
    <t>Luminária blindada arandela 45º e 90º, para lâmpadas mista, vapor metálico, de mercúrio, vapor de sódio e fluorescente compacta</t>
  </si>
  <si>
    <t>Eletroduto corrugado em polietileno de alta densidade, DN= 50 mm, com acessórios</t>
  </si>
  <si>
    <t>Eletroduto de PVC rígido roscável de 1 1/4´ - com acessórios</t>
  </si>
  <si>
    <t>Cabo de cobre de 6 mm², isolamento 0,6/1 kV - isolação em PVC 70°C</t>
  </si>
  <si>
    <t>Cabo de cobre de 16 mm², isolamento 0,6/1 kV - isolação em PVC 70°C</t>
  </si>
  <si>
    <t>Cabo de cobre de 35 mm², isolamento 0,6/1 kV - isolação em PVC 70°C</t>
  </si>
  <si>
    <t>Disjuntor em caixa moldada tripolar, térmico e magnético fixos, tensão de isolamento 480/690V, de 70A até 150A</t>
  </si>
  <si>
    <t>Fio telefônico externo tipo FE-160</t>
  </si>
  <si>
    <t>Eletroduto de PVC rígido roscável de 3/4´ - com acessórios</t>
  </si>
  <si>
    <t>Eletroduto de PVC corrugado flexível reforçado, diâmetro externo de 25 mm</t>
  </si>
  <si>
    <t>Projeto executivo de arquitetura em formato A0  (As Built)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</si>
</sst>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##0.00&quot; &quot;;&quot; (&quot;#,##0.00&quot;)&quot;;&quot; -&quot;#&quot; &quot;;@&quot; &quot;"/>
    <numFmt numFmtId="167" formatCode="#,##0.00\ ;&quot; (&quot;#,##0.00\);&quot; -&quot;#\ ;@\ "/>
    <numFmt numFmtId="168" formatCode="#,##0.00&quot; &quot;;&quot;-&quot;#,##0.00&quot; &quot;;&quot; -&quot;#&quot; &quot;;@&quot; &quot;"/>
    <numFmt numFmtId="169" formatCode="[$R$-416]&quot; &quot;#,##0.00;[Red]&quot;-&quot;[$R$-416]&quot; &quot;#,##0.00"/>
    <numFmt numFmtId="170" formatCode="00\.00\.00"/>
    <numFmt numFmtId="171" formatCode="0.0%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sz val="24"/>
      <color rgb="FF000000"/>
      <name val="Arial"/>
      <family val="2"/>
    </font>
    <font>
      <b/>
      <sz val="9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1"/>
      <color indexed="8"/>
      <name val="Arial"/>
      <family val="2"/>
    </font>
    <font>
      <sz val="9"/>
      <color rgb="FF000000"/>
      <name val="Arial"/>
      <family val="2"/>
    </font>
    <font>
      <b/>
      <sz val="14"/>
      <name val="Arial"/>
      <family val="2"/>
    </font>
    <font>
      <sz val="1"/>
      <name val="Arial"/>
      <family val="2"/>
    </font>
    <font>
      <sz val="11"/>
      <color rgb="FF000000"/>
      <name val="Calibri"/>
      <family val="2"/>
    </font>
    <font>
      <b/>
      <sz val="10"/>
      <color theme="0" tint="-0.249977111117893"/>
      <name val="Arial"/>
      <family val="2"/>
    </font>
    <font>
      <sz val="10"/>
      <color rgb="FF000000"/>
      <name val="Arial1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6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9"/>
      <color indexed="8"/>
      <name val="Arial"/>
      <family val="2"/>
    </font>
    <font>
      <b/>
      <sz val="18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9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i/>
      <sz val="16"/>
      <color rgb="FF00000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i/>
      <u/>
      <sz val="11"/>
      <color rgb="FF000000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24"/>
      <name val="Arial"/>
      <family val="2"/>
    </font>
    <font>
      <b/>
      <sz val="8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8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5">
    <xf numFmtId="0" fontId="0" fillId="0" borderId="0"/>
    <xf numFmtId="0" fontId="2" fillId="0" borderId="0"/>
    <xf numFmtId="0" fontId="4" fillId="0" borderId="0"/>
    <xf numFmtId="165" fontId="13" fillId="0" borderId="0" applyFont="0" applyFill="0" applyBorder="0" applyAlignment="0" applyProtection="0"/>
    <xf numFmtId="0" fontId="17" fillId="0" borderId="0" applyNumberFormat="0" applyBorder="0" applyProtection="0"/>
    <xf numFmtId="166" fontId="19" fillId="0" borderId="0" applyBorder="0" applyProtection="0"/>
    <xf numFmtId="0" fontId="1" fillId="0" borderId="0"/>
    <xf numFmtId="164" fontId="4" fillId="0" borderId="0" applyFont="0" applyFill="0" applyBorder="0" applyAlignment="0" applyProtection="0"/>
    <xf numFmtId="0" fontId="2" fillId="0" borderId="0"/>
    <xf numFmtId="0" fontId="24" fillId="0" borderId="0" applyNumberFormat="0" applyBorder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19" fillId="0" borderId="0" applyNumberFormat="0" applyBorder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0" borderId="0" applyNumberFormat="0" applyBorder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21" borderId="0" applyNumberFormat="0" applyBorder="0" applyAlignment="0" applyProtection="0"/>
    <xf numFmtId="0" fontId="37" fillId="5" borderId="0" applyNumberFormat="0" applyBorder="0" applyAlignment="0" applyProtection="0"/>
    <xf numFmtId="0" fontId="38" fillId="22" borderId="50" applyNumberFormat="0" applyAlignment="0" applyProtection="0"/>
    <xf numFmtId="0" fontId="39" fillId="23" borderId="51" applyNumberFormat="0" applyAlignment="0" applyProtection="0"/>
    <xf numFmtId="166" fontId="19" fillId="0" borderId="0" applyBorder="0" applyProtection="0"/>
    <xf numFmtId="0" fontId="40" fillId="0" borderId="0" applyBorder="0" applyProtection="0"/>
    <xf numFmtId="0" fontId="19" fillId="0" borderId="0" applyNumberFormat="0" applyBorder="0" applyProtection="0"/>
    <xf numFmtId="0" fontId="24" fillId="0" borderId="0" applyNumberFormat="0" applyBorder="0" applyProtection="0"/>
    <xf numFmtId="168" fontId="17" fillId="0" borderId="0" applyBorder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43" fillId="0" borderId="0" applyNumberFormat="0" applyBorder="0" applyProtection="0">
      <alignment horizontal="center"/>
    </xf>
    <xf numFmtId="0" fontId="44" fillId="0" borderId="52" applyNumberFormat="0" applyFill="0" applyAlignment="0" applyProtection="0"/>
    <xf numFmtId="0" fontId="45" fillId="0" borderId="53" applyNumberFormat="0" applyFill="0" applyAlignment="0" applyProtection="0"/>
    <xf numFmtId="0" fontId="46" fillId="0" borderId="54" applyNumberFormat="0" applyFill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Border="0" applyProtection="0">
      <alignment horizontal="center" textRotation="90"/>
    </xf>
    <xf numFmtId="0" fontId="47" fillId="9" borderId="50" applyNumberFormat="0" applyAlignment="0" applyProtection="0"/>
    <xf numFmtId="0" fontId="48" fillId="0" borderId="55" applyNumberFormat="0" applyFill="0" applyAlignment="0" applyProtection="0"/>
    <xf numFmtId="0" fontId="49" fillId="24" borderId="0" applyNumberFormat="0" applyBorder="0" applyAlignment="0" applyProtection="0"/>
    <xf numFmtId="0" fontId="2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20" fillId="0" borderId="0">
      <alignment vertical="top"/>
    </xf>
    <xf numFmtId="0" fontId="1" fillId="0" borderId="0"/>
    <xf numFmtId="0" fontId="20" fillId="0" borderId="0">
      <alignment vertical="top"/>
    </xf>
    <xf numFmtId="0" fontId="13" fillId="25" borderId="56" applyNumberFormat="0" applyFont="0" applyAlignment="0" applyProtection="0"/>
    <xf numFmtId="0" fontId="50" fillId="22" borderId="57" applyNumberFormat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0" fillId="0" borderId="0" applyFont="0" applyFill="0" applyBorder="0" applyAlignment="0" applyProtection="0">
      <alignment vertical="top"/>
    </xf>
    <xf numFmtId="0" fontId="51" fillId="0" borderId="0" applyNumberFormat="0" applyBorder="0" applyProtection="0"/>
    <xf numFmtId="169" fontId="51" fillId="0" borderId="0" applyBorder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9" fillId="0" borderId="0" applyBorder="0" applyProtection="0"/>
    <xf numFmtId="165" fontId="24" fillId="0" borderId="0" applyFont="0" applyFill="0" applyBorder="0" applyAlignment="0" applyProtection="0"/>
    <xf numFmtId="165" fontId="20" fillId="0" borderId="0" applyFont="0" applyFill="0" applyBorder="0" applyAlignment="0" applyProtection="0">
      <alignment vertical="top"/>
    </xf>
    <xf numFmtId="0" fontId="52" fillId="0" borderId="0" applyNumberFormat="0" applyFill="0" applyBorder="0" applyAlignment="0" applyProtection="0"/>
    <xf numFmtId="165" fontId="24" fillId="0" borderId="0" applyFont="0" applyFill="0" applyBorder="0" applyAlignment="0" applyProtection="0"/>
    <xf numFmtId="0" fontId="53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401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/>
    </xf>
    <xf numFmtId="0" fontId="2" fillId="0" borderId="16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right" vertical="center"/>
    </xf>
    <xf numFmtId="10" fontId="6" fillId="0" borderId="17" xfId="1" applyNumberFormat="1" applyFont="1" applyFill="1" applyBorder="1" applyAlignment="1">
      <alignment horizontal="left" vertical="center" wrapText="1"/>
    </xf>
    <xf numFmtId="0" fontId="2" fillId="0" borderId="0" xfId="1" quotePrefix="1" applyFont="1" applyFill="1" applyAlignment="1">
      <alignment vertical="center" wrapText="1"/>
    </xf>
    <xf numFmtId="0" fontId="2" fillId="2" borderId="0" xfId="1" quotePrefix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2" xfId="1" applyNumberFormat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vertical="center" wrapText="1"/>
    </xf>
    <xf numFmtId="165" fontId="2" fillId="0" borderId="22" xfId="3" applyFont="1" applyFill="1" applyBorder="1" applyAlignment="1">
      <alignment vertical="center" wrapText="1"/>
    </xf>
    <xf numFmtId="4" fontId="3" fillId="0" borderId="22" xfId="1" applyNumberFormat="1" applyFont="1" applyFill="1" applyBorder="1" applyAlignment="1">
      <alignment vertical="center" wrapText="1"/>
    </xf>
    <xf numFmtId="165" fontId="3" fillId="0" borderId="22" xfId="3" applyFont="1" applyFill="1" applyBorder="1" applyAlignment="1">
      <alignment vertical="center" wrapText="1"/>
    </xf>
    <xf numFmtId="0" fontId="2" fillId="0" borderId="0" xfId="1" applyFont="1" applyFill="1" applyAlignment="1">
      <alignment vertical="center"/>
    </xf>
    <xf numFmtId="0" fontId="22" fillId="0" borderId="29" xfId="2" applyFont="1" applyFill="1" applyBorder="1" applyAlignment="1">
      <alignment horizontal="center"/>
    </xf>
    <xf numFmtId="49" fontId="3" fillId="0" borderId="22" xfId="1" applyNumberFormat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vertical="center" wrapText="1"/>
    </xf>
    <xf numFmtId="4" fontId="2" fillId="0" borderId="0" xfId="1" applyNumberFormat="1" applyFont="1" applyFill="1" applyAlignment="1">
      <alignment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4" fillId="0" borderId="0" xfId="2" applyFill="1" applyBorder="1"/>
    <xf numFmtId="164" fontId="9" fillId="0" borderId="0" xfId="7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49" fontId="20" fillId="0" borderId="22" xfId="4" applyNumberFormat="1" applyFont="1" applyFill="1" applyBorder="1" applyAlignment="1">
      <alignment horizontal="center" vertical="center"/>
    </xf>
    <xf numFmtId="2" fontId="3" fillId="0" borderId="37" xfId="4" applyNumberFormat="1" applyFont="1" applyFill="1" applyBorder="1" applyAlignment="1">
      <alignment horizontal="left" vertical="center" wrapText="1"/>
    </xf>
    <xf numFmtId="167" fontId="20" fillId="0" borderId="37" xfId="3" applyNumberFormat="1" applyFont="1" applyFill="1" applyBorder="1" applyAlignment="1" applyProtection="1">
      <alignment horizontal="center" vertical="center"/>
      <protection locked="0"/>
    </xf>
    <xf numFmtId="167" fontId="20" fillId="0" borderId="37" xfId="3" applyNumberFormat="1" applyFont="1" applyFill="1" applyBorder="1" applyAlignment="1" applyProtection="1">
      <alignment horizontal="right" vertical="center"/>
      <protection locked="0"/>
    </xf>
    <xf numFmtId="49" fontId="2" fillId="0" borderId="22" xfId="4" applyNumberFormat="1" applyFont="1" applyFill="1" applyBorder="1" applyAlignment="1">
      <alignment horizontal="center" vertical="center"/>
    </xf>
    <xf numFmtId="49" fontId="20" fillId="0" borderId="37" xfId="9" applyNumberFormat="1" applyFont="1" applyFill="1" applyBorder="1" applyAlignment="1" applyProtection="1">
      <alignment horizontal="center" vertical="center"/>
    </xf>
    <xf numFmtId="2" fontId="25" fillId="0" borderId="37" xfId="4" applyNumberFormat="1" applyFont="1" applyFill="1" applyBorder="1" applyAlignment="1">
      <alignment horizontal="left" vertical="center" wrapText="1"/>
    </xf>
    <xf numFmtId="165" fontId="2" fillId="0" borderId="0" xfId="1" applyNumberFormat="1" applyFont="1" applyFill="1" applyAlignment="1">
      <alignment vertical="center" wrapText="1"/>
    </xf>
    <xf numFmtId="49" fontId="20" fillId="0" borderId="37" xfId="4" applyNumberFormat="1" applyFont="1" applyFill="1" applyBorder="1" applyAlignment="1">
      <alignment horizontal="center" vertical="center"/>
    </xf>
    <xf numFmtId="49" fontId="2" fillId="0" borderId="37" xfId="4" applyNumberFormat="1" applyFont="1" applyFill="1" applyBorder="1" applyAlignment="1">
      <alignment horizontal="center" vertical="center"/>
    </xf>
    <xf numFmtId="165" fontId="2" fillId="2" borderId="0" xfId="1" applyNumberFormat="1" applyFont="1" applyFill="1" applyAlignment="1">
      <alignment vertical="center" wrapText="1"/>
    </xf>
    <xf numFmtId="0" fontId="22" fillId="0" borderId="37" xfId="9" applyFont="1" applyFill="1" applyBorder="1" applyAlignment="1" applyProtection="1">
      <alignment horizontal="center" vertical="center"/>
    </xf>
    <xf numFmtId="49" fontId="22" fillId="0" borderId="37" xfId="9" applyNumberFormat="1" applyFont="1" applyFill="1" applyBorder="1" applyAlignment="1" applyProtection="1">
      <alignment horizontal="center" vertical="center"/>
    </xf>
    <xf numFmtId="0" fontId="26" fillId="2" borderId="0" xfId="1" quotePrefix="1" applyFont="1" applyFill="1" applyAlignment="1">
      <alignment vertical="center" wrapText="1"/>
    </xf>
    <xf numFmtId="0" fontId="26" fillId="0" borderId="0" xfId="1" applyFont="1" applyFill="1" applyAlignment="1">
      <alignment vertical="center" wrapText="1"/>
    </xf>
    <xf numFmtId="165" fontId="2" fillId="0" borderId="22" xfId="3" applyFont="1" applyFill="1" applyBorder="1" applyAlignment="1">
      <alignment horizontal="right" vertical="center"/>
    </xf>
    <xf numFmtId="0" fontId="10" fillId="0" borderId="0" xfId="1" applyFont="1" applyFill="1" applyAlignment="1">
      <alignment vertical="center" wrapText="1"/>
    </xf>
    <xf numFmtId="4" fontId="32" fillId="0" borderId="0" xfId="1" applyNumberFormat="1" applyFont="1" applyFill="1" applyAlignment="1">
      <alignment vertical="center" wrapText="1"/>
    </xf>
    <xf numFmtId="0" fontId="10" fillId="0" borderId="35" xfId="1" applyFont="1" applyFill="1" applyBorder="1" applyAlignment="1">
      <alignment horizontal="left" vertical="center" wrapText="1"/>
    </xf>
    <xf numFmtId="165" fontId="10" fillId="0" borderId="25" xfId="3" applyFont="1" applyFill="1" applyBorder="1" applyAlignment="1">
      <alignment horizontal="left" vertical="center" wrapText="1"/>
    </xf>
    <xf numFmtId="165" fontId="2" fillId="0" borderId="0" xfId="3" applyFont="1" applyFill="1" applyAlignment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0" fillId="0" borderId="49" xfId="1" applyFont="1" applyFill="1" applyBorder="1" applyAlignment="1">
      <alignment horizontal="left" vertical="center" wrapText="1"/>
    </xf>
    <xf numFmtId="0" fontId="10" fillId="0" borderId="48" xfId="1" applyFont="1" applyFill="1" applyBorder="1" applyAlignment="1">
      <alignment horizontal="left" vertical="center"/>
    </xf>
    <xf numFmtId="165" fontId="2" fillId="0" borderId="0" xfId="1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left" vertical="center" wrapText="1"/>
    </xf>
    <xf numFmtId="165" fontId="2" fillId="0" borderId="0" xfId="3" applyFont="1" applyFill="1" applyAlignment="1">
      <alignment horizontal="center" vertical="center" wrapText="1"/>
    </xf>
    <xf numFmtId="165" fontId="10" fillId="0" borderId="0" xfId="3" applyFont="1" applyFill="1" applyAlignment="1">
      <alignment vertical="center" wrapText="1"/>
    </xf>
    <xf numFmtId="0" fontId="2" fillId="0" borderId="0" xfId="1"/>
    <xf numFmtId="0" fontId="2" fillId="0" borderId="0" xfId="1" applyBorder="1" applyAlignment="1"/>
    <xf numFmtId="0" fontId="2" fillId="0" borderId="0" xfId="1" applyFont="1" applyFill="1" applyBorder="1"/>
    <xf numFmtId="0" fontId="55" fillId="0" borderId="0" xfId="1" applyFont="1" applyFill="1" applyBorder="1" applyAlignment="1">
      <alignment horizontal="center"/>
    </xf>
    <xf numFmtId="0" fontId="55" fillId="0" borderId="0" xfId="1" applyNumberFormat="1" applyFont="1" applyFill="1" applyBorder="1" applyAlignment="1">
      <alignment horizontal="left"/>
    </xf>
    <xf numFmtId="0" fontId="9" fillId="0" borderId="0" xfId="1" applyFont="1" applyFill="1" applyBorder="1"/>
    <xf numFmtId="0" fontId="2" fillId="0" borderId="0" xfId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2" fillId="0" borderId="0" xfId="1" applyFill="1" applyBorder="1"/>
    <xf numFmtId="0" fontId="57" fillId="0" borderId="0" xfId="1" applyFont="1"/>
    <xf numFmtId="0" fontId="11" fillId="0" borderId="0" xfId="1" applyFont="1"/>
    <xf numFmtId="4" fontId="11" fillId="0" borderId="0" xfId="1" applyNumberFormat="1" applyFont="1"/>
    <xf numFmtId="0" fontId="23" fillId="0" borderId="0" xfId="1" applyFont="1"/>
    <xf numFmtId="3" fontId="23" fillId="0" borderId="22" xfId="1" applyNumberFormat="1" applyFont="1" applyFill="1" applyBorder="1" applyAlignment="1">
      <alignment horizontal="center" vertical="center"/>
    </xf>
    <xf numFmtId="10" fontId="11" fillId="0" borderId="22" xfId="84" applyNumberFormat="1" applyFont="1" applyFill="1" applyBorder="1" applyAlignment="1" applyProtection="1">
      <alignment horizontal="center" vertical="center"/>
      <protection locked="0"/>
    </xf>
    <xf numFmtId="0" fontId="58" fillId="0" borderId="0" xfId="1" applyFont="1" applyFill="1" applyBorder="1" applyAlignment="1" applyProtection="1">
      <alignment horizontal="left"/>
      <protection locked="0"/>
    </xf>
    <xf numFmtId="0" fontId="2" fillId="0" borderId="24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/>
    <xf numFmtId="0" fontId="12" fillId="0" borderId="3" xfId="1" applyFont="1" applyFill="1" applyBorder="1" applyAlignment="1">
      <alignment horizontal="left" wrapText="1"/>
    </xf>
    <xf numFmtId="0" fontId="12" fillId="0" borderId="4" xfId="1" applyFont="1" applyFill="1" applyBorder="1" applyAlignment="1">
      <alignment horizontal="left" wrapText="1"/>
    </xf>
    <xf numFmtId="165" fontId="10" fillId="0" borderId="7" xfId="3" applyFont="1" applyFill="1" applyBorder="1" applyAlignment="1">
      <alignment horizontal="center" vertical="center" wrapText="1"/>
    </xf>
    <xf numFmtId="0" fontId="14" fillId="0" borderId="8" xfId="2" applyFont="1" applyFill="1" applyBorder="1" applyAlignment="1">
      <alignment horizontal="right" vertical="center" wrapText="1"/>
    </xf>
    <xf numFmtId="17" fontId="6" fillId="0" borderId="9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12" fillId="0" borderId="11" xfId="1" applyFont="1" applyFill="1" applyBorder="1" applyAlignment="1">
      <alignment vertical="center" wrapText="1"/>
    </xf>
    <xf numFmtId="0" fontId="2" fillId="0" borderId="12" xfId="1" applyFont="1" applyFill="1" applyBorder="1" applyAlignment="1">
      <alignment horizontal="center" vertical="center" wrapText="1"/>
    </xf>
    <xf numFmtId="165" fontId="2" fillId="0" borderId="0" xfId="3" applyFont="1" applyFill="1" applyBorder="1" applyAlignment="1">
      <alignment horizontal="center" vertical="center" wrapText="1"/>
    </xf>
    <xf numFmtId="0" fontId="10" fillId="0" borderId="13" xfId="3" applyNumberFormat="1" applyFont="1" applyFill="1" applyBorder="1" applyAlignment="1">
      <alignment horizontal="center" vertical="center"/>
    </xf>
    <xf numFmtId="165" fontId="10" fillId="0" borderId="14" xfId="3" applyFont="1" applyFill="1" applyBorder="1" applyAlignment="1">
      <alignment horizontal="right" vertical="center" wrapText="1"/>
    </xf>
    <xf numFmtId="17" fontId="6" fillId="0" borderId="15" xfId="1" applyNumberFormat="1" applyFont="1" applyFill="1" applyBorder="1" applyAlignment="1">
      <alignment horizontal="left" vertical="center" wrapText="1"/>
    </xf>
    <xf numFmtId="0" fontId="9" fillId="0" borderId="17" xfId="1" applyFont="1" applyFill="1" applyBorder="1" applyAlignment="1">
      <alignment horizontal="left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/>
    </xf>
    <xf numFmtId="0" fontId="10" fillId="0" borderId="18" xfId="1" applyFont="1" applyFill="1" applyBorder="1" applyAlignment="1">
      <alignment horizontal="right" vertical="center"/>
    </xf>
    <xf numFmtId="10" fontId="6" fillId="0" borderId="19" xfId="1" applyNumberFormat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5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 wrapText="1"/>
    </xf>
    <xf numFmtId="9" fontId="16" fillId="0" borderId="6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165" fontId="3" fillId="0" borderId="5" xfId="3" applyFont="1" applyFill="1" applyBorder="1" applyAlignment="1">
      <alignment horizontal="center" vertical="center" wrapText="1"/>
    </xf>
    <xf numFmtId="4" fontId="6" fillId="0" borderId="7" xfId="1" applyNumberFormat="1" applyFont="1" applyFill="1" applyBorder="1" applyAlignment="1">
      <alignment horizontal="center"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1" fontId="18" fillId="0" borderId="22" xfId="4" applyNumberFormat="1" applyFont="1" applyFill="1" applyBorder="1" applyAlignment="1">
      <alignment horizontal="center" vertical="center" wrapText="1"/>
    </xf>
    <xf numFmtId="166" fontId="3" fillId="0" borderId="22" xfId="5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left" vertical="center" wrapText="1"/>
    </xf>
    <xf numFmtId="0" fontId="20" fillId="0" borderId="22" xfId="2" applyFont="1" applyFill="1" applyBorder="1" applyAlignment="1">
      <alignment horizontal="center" vertical="center" wrapText="1"/>
    </xf>
    <xf numFmtId="166" fontId="2" fillId="0" borderId="22" xfId="5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left" vertical="center" wrapText="1"/>
    </xf>
    <xf numFmtId="165" fontId="2" fillId="0" borderId="22" xfId="3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vertical="center" wrapText="1"/>
    </xf>
    <xf numFmtId="0" fontId="20" fillId="0" borderId="22" xfId="2" applyNumberFormat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left" vertical="center" wrapText="1"/>
    </xf>
    <xf numFmtId="0" fontId="2" fillId="0" borderId="26" xfId="1" applyFont="1" applyFill="1" applyBorder="1" applyAlignment="1">
      <alignment horizontal="left" vertical="center" wrapText="1"/>
    </xf>
    <xf numFmtId="0" fontId="18" fillId="0" borderId="22" xfId="1" applyNumberFormat="1" applyFont="1" applyFill="1" applyBorder="1" applyAlignment="1">
      <alignment horizontal="center" vertical="center" wrapText="1"/>
    </xf>
    <xf numFmtId="0" fontId="20" fillId="0" borderId="22" xfId="2" applyFont="1" applyFill="1" applyBorder="1" applyAlignment="1">
      <alignment horizontal="center" vertical="center"/>
    </xf>
    <xf numFmtId="49" fontId="21" fillId="0" borderId="22" xfId="6" applyNumberFormat="1" applyFont="1" applyFill="1" applyBorder="1" applyAlignment="1">
      <alignment horizontal="center" vertical="center" wrapText="1"/>
    </xf>
    <xf numFmtId="0" fontId="20" fillId="0" borderId="22" xfId="2" applyFont="1" applyFill="1" applyBorder="1" applyAlignment="1">
      <alignment horizontal="center" vertical="center" readingOrder="1"/>
    </xf>
    <xf numFmtId="1" fontId="18" fillId="0" borderId="22" xfId="1" applyNumberFormat="1" applyFont="1" applyFill="1" applyBorder="1" applyAlignment="1">
      <alignment horizontal="center" vertical="center" wrapText="1"/>
    </xf>
    <xf numFmtId="0" fontId="18" fillId="0" borderId="22" xfId="2" applyFont="1" applyFill="1" applyBorder="1" applyAlignment="1">
      <alignment horizontal="center" vertical="center" readingOrder="1"/>
    </xf>
    <xf numFmtId="49" fontId="18" fillId="0" borderId="22" xfId="4" applyNumberFormat="1" applyFont="1" applyFill="1" applyBorder="1" applyAlignment="1">
      <alignment horizontal="center" vertical="center" wrapText="1"/>
    </xf>
    <xf numFmtId="49" fontId="21" fillId="0" borderId="29" xfId="6" applyNumberFormat="1" applyFont="1" applyFill="1" applyBorder="1" applyAlignment="1">
      <alignment horizontal="center" vertical="center" wrapText="1"/>
    </xf>
    <xf numFmtId="49" fontId="18" fillId="0" borderId="22" xfId="1" applyNumberFormat="1" applyFont="1" applyFill="1" applyBorder="1" applyAlignment="1">
      <alignment horizontal="center" vertical="center" wrapText="1"/>
    </xf>
    <xf numFmtId="49" fontId="21" fillId="0" borderId="30" xfId="6" applyNumberFormat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right" vertical="center" wrapText="1"/>
    </xf>
    <xf numFmtId="10" fontId="23" fillId="0" borderId="5" xfId="1" applyNumberFormat="1" applyFont="1" applyFill="1" applyBorder="1" applyAlignment="1">
      <alignment horizontal="left" vertical="center" wrapText="1"/>
    </xf>
    <xf numFmtId="2" fontId="23" fillId="0" borderId="6" xfId="1" applyNumberFormat="1" applyFont="1" applyFill="1" applyBorder="1" applyAlignment="1">
      <alignment horizontal="center" vertical="center" wrapText="1"/>
    </xf>
    <xf numFmtId="49" fontId="22" fillId="0" borderId="22" xfId="8" applyNumberFormat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right" vertical="center" wrapText="1"/>
    </xf>
    <xf numFmtId="10" fontId="10" fillId="0" borderId="5" xfId="1" applyNumberFormat="1" applyFont="1" applyFill="1" applyBorder="1" applyAlignment="1">
      <alignment horizontal="left" vertical="center" wrapText="1"/>
    </xf>
    <xf numFmtId="2" fontId="10" fillId="0" borderId="6" xfId="1" applyNumberFormat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left" vertical="center" wrapText="1"/>
    </xf>
    <xf numFmtId="166" fontId="2" fillId="0" borderId="24" xfId="5" applyFont="1" applyFill="1" applyBorder="1" applyAlignment="1">
      <alignment horizontal="center" vertical="center" wrapText="1"/>
    </xf>
    <xf numFmtId="165" fontId="2" fillId="0" borderId="23" xfId="3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right" vertical="center" wrapText="1"/>
    </xf>
    <xf numFmtId="0" fontId="22" fillId="0" borderId="22" xfId="8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left" vertical="center" wrapText="1"/>
    </xf>
    <xf numFmtId="0" fontId="2" fillId="0" borderId="36" xfId="1" applyFont="1" applyFill="1" applyBorder="1" applyAlignment="1">
      <alignment horizontal="left" vertical="center" wrapText="1"/>
    </xf>
    <xf numFmtId="0" fontId="22" fillId="0" borderId="22" xfId="2" applyFont="1" applyFill="1" applyBorder="1" applyAlignment="1">
      <alignment horizontal="center" vertical="center"/>
    </xf>
    <xf numFmtId="0" fontId="22" fillId="0" borderId="29" xfId="2" applyFont="1" applyFill="1" applyBorder="1" applyAlignment="1">
      <alignment horizontal="center" vertical="center" wrapText="1"/>
    </xf>
    <xf numFmtId="0" fontId="22" fillId="0" borderId="22" xfId="2" applyFont="1" applyFill="1" applyBorder="1" applyAlignment="1">
      <alignment horizontal="center" vertical="center" readingOrder="1"/>
    </xf>
    <xf numFmtId="0" fontId="2" fillId="0" borderId="37" xfId="4" applyNumberFormat="1" applyFont="1" applyFill="1" applyBorder="1" applyAlignment="1">
      <alignment horizontal="center" vertical="center"/>
    </xf>
    <xf numFmtId="0" fontId="3" fillId="0" borderId="37" xfId="4" applyFont="1" applyFill="1" applyBorder="1" applyAlignment="1">
      <alignment vertical="center" wrapText="1"/>
    </xf>
    <xf numFmtId="167" fontId="2" fillId="0" borderId="37" xfId="3" applyNumberFormat="1" applyFont="1" applyFill="1" applyBorder="1" applyAlignment="1">
      <alignment horizontal="center" vertical="center"/>
    </xf>
    <xf numFmtId="49" fontId="3" fillId="0" borderId="22" xfId="4" applyNumberFormat="1" applyFont="1" applyFill="1" applyBorder="1" applyAlignment="1">
      <alignment horizontal="center" vertical="center" wrapText="1"/>
    </xf>
    <xf numFmtId="49" fontId="21" fillId="0" borderId="26" xfId="6" applyNumberFormat="1" applyFont="1" applyFill="1" applyBorder="1" applyAlignment="1">
      <alignment vertical="center" wrapText="1"/>
    </xf>
    <xf numFmtId="166" fontId="2" fillId="0" borderId="23" xfId="5" applyFont="1" applyFill="1" applyBorder="1" applyAlignment="1">
      <alignment horizontal="center" vertical="center" wrapText="1"/>
    </xf>
    <xf numFmtId="165" fontId="2" fillId="0" borderId="23" xfId="3" applyFont="1" applyFill="1" applyBorder="1" applyAlignment="1">
      <alignment horizontal="right" vertical="center" wrapText="1"/>
    </xf>
    <xf numFmtId="0" fontId="3" fillId="0" borderId="26" xfId="1" applyFont="1" applyFill="1" applyBorder="1" applyAlignment="1">
      <alignment horizontal="left" vertical="center" wrapText="1"/>
    </xf>
    <xf numFmtId="49" fontId="21" fillId="0" borderId="38" xfId="6" applyNumberFormat="1" applyFont="1" applyFill="1" applyBorder="1" applyAlignment="1">
      <alignment horizontal="center" vertical="center" wrapText="1"/>
    </xf>
    <xf numFmtId="0" fontId="22" fillId="0" borderId="30" xfId="2" applyFont="1" applyFill="1" applyBorder="1" applyAlignment="1">
      <alignment horizontal="center" vertical="center" wrapText="1"/>
    </xf>
    <xf numFmtId="167" fontId="2" fillId="0" borderId="37" xfId="3" applyNumberFormat="1" applyFont="1" applyFill="1" applyBorder="1" applyAlignment="1">
      <alignment horizontal="right" vertical="center"/>
    </xf>
    <xf numFmtId="0" fontId="18" fillId="0" borderId="22" xfId="4" applyNumberFormat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left" vertical="center" wrapText="1"/>
    </xf>
    <xf numFmtId="0" fontId="22" fillId="0" borderId="22" xfId="2" applyFont="1" applyFill="1" applyBorder="1" applyAlignment="1">
      <alignment horizontal="center" vertical="center" wrapText="1"/>
    </xf>
    <xf numFmtId="49" fontId="21" fillId="0" borderId="23" xfId="6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26" fillId="0" borderId="22" xfId="2" applyFont="1" applyFill="1" applyBorder="1" applyAlignment="1">
      <alignment horizontal="center" vertical="center"/>
    </xf>
    <xf numFmtId="166" fontId="26" fillId="0" borderId="24" xfId="5" applyFont="1" applyFill="1" applyBorder="1" applyAlignment="1">
      <alignment horizontal="center" vertical="center" wrapText="1"/>
    </xf>
    <xf numFmtId="0" fontId="26" fillId="0" borderId="26" xfId="1" applyFont="1" applyFill="1" applyBorder="1" applyAlignment="1">
      <alignment horizontal="left" vertical="center" wrapText="1"/>
    </xf>
    <xf numFmtId="0" fontId="26" fillId="0" borderId="22" xfId="1" applyFont="1" applyFill="1" applyBorder="1" applyAlignment="1">
      <alignment horizontal="center" vertical="center" wrapText="1"/>
    </xf>
    <xf numFmtId="165" fontId="26" fillId="0" borderId="23" xfId="3" applyFont="1" applyFill="1" applyBorder="1" applyAlignment="1">
      <alignment horizontal="right" vertical="center" wrapText="1"/>
    </xf>
    <xf numFmtId="165" fontId="26" fillId="0" borderId="22" xfId="3" applyFont="1" applyFill="1" applyBorder="1" applyAlignment="1">
      <alignment vertical="center" wrapText="1"/>
    </xf>
    <xf numFmtId="4" fontId="26" fillId="0" borderId="23" xfId="1" applyNumberFormat="1" applyFont="1" applyFill="1" applyBorder="1" applyAlignment="1">
      <alignment horizontal="right" vertical="center" wrapText="1"/>
    </xf>
    <xf numFmtId="49" fontId="21" fillId="0" borderId="22" xfId="6" applyNumberFormat="1" applyFont="1" applyFill="1" applyBorder="1" applyAlignment="1">
      <alignment horizontal="center" vertical="center"/>
    </xf>
    <xf numFmtId="166" fontId="2" fillId="0" borderId="22" xfId="5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4" fontId="17" fillId="0" borderId="0" xfId="2" applyNumberFormat="1" applyFont="1" applyFill="1" applyAlignment="1">
      <alignment horizontal="right" vertical="center"/>
    </xf>
    <xf numFmtId="4" fontId="2" fillId="0" borderId="22" xfId="1" applyNumberFormat="1" applyFont="1" applyFill="1" applyBorder="1" applyAlignment="1">
      <alignment horizontal="right" vertical="center"/>
    </xf>
    <xf numFmtId="0" fontId="17" fillId="0" borderId="22" xfId="2" applyFont="1" applyFill="1" applyBorder="1"/>
    <xf numFmtId="165" fontId="2" fillId="0" borderId="22" xfId="3" applyFont="1" applyFill="1" applyBorder="1" applyAlignment="1">
      <alignment horizontal="right" vertical="center" wrapText="1"/>
    </xf>
    <xf numFmtId="0" fontId="13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center" vertical="top"/>
    </xf>
    <xf numFmtId="0" fontId="13" fillId="0" borderId="5" xfId="2" applyFont="1" applyFill="1" applyBorder="1" applyAlignment="1">
      <alignment horizontal="center" vertical="top"/>
    </xf>
    <xf numFmtId="0" fontId="13" fillId="0" borderId="5" xfId="2" applyFont="1" applyFill="1" applyBorder="1" applyAlignment="1">
      <alignment horizontal="left" vertical="top"/>
    </xf>
    <xf numFmtId="0" fontId="28" fillId="0" borderId="5" xfId="2" applyFont="1" applyFill="1" applyBorder="1" applyAlignment="1">
      <alignment horizontal="center" vertical="top"/>
    </xf>
    <xf numFmtId="0" fontId="27" fillId="0" borderId="5" xfId="2" applyFont="1" applyFill="1" applyBorder="1" applyAlignment="1">
      <alignment horizontal="center" vertical="top"/>
    </xf>
    <xf numFmtId="0" fontId="10" fillId="0" borderId="5" xfId="1" applyFont="1" applyFill="1" applyBorder="1" applyAlignment="1">
      <alignment vertical="center" wrapText="1"/>
    </xf>
    <xf numFmtId="0" fontId="10" fillId="0" borderId="6" xfId="1" applyFont="1" applyFill="1" applyBorder="1" applyAlignment="1">
      <alignment vertical="center" wrapText="1"/>
    </xf>
    <xf numFmtId="0" fontId="13" fillId="0" borderId="9" xfId="2" applyFont="1" applyFill="1" applyBorder="1" applyAlignment="1">
      <alignment horizontal="left" vertical="top"/>
    </xf>
    <xf numFmtId="0" fontId="29" fillId="0" borderId="44" xfId="2" applyFont="1" applyFill="1" applyBorder="1" applyAlignment="1">
      <alignment horizontal="left" vertical="top"/>
    </xf>
    <xf numFmtId="0" fontId="2" fillId="0" borderId="8" xfId="1" applyFont="1" applyFill="1" applyBorder="1" applyAlignment="1">
      <alignment horizontal="left" vertical="center" wrapText="1"/>
    </xf>
    <xf numFmtId="0" fontId="20" fillId="0" borderId="8" xfId="2" applyFont="1" applyFill="1" applyBorder="1" applyAlignment="1">
      <alignment horizontal="right" vertical="center"/>
    </xf>
    <xf numFmtId="0" fontId="20" fillId="0" borderId="8" xfId="2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left" vertical="center" wrapText="1"/>
    </xf>
    <xf numFmtId="164" fontId="30" fillId="0" borderId="9" xfId="7" applyFont="1" applyFill="1" applyBorder="1" applyAlignment="1">
      <alignment vertical="center" wrapText="1"/>
    </xf>
    <xf numFmtId="0" fontId="13" fillId="0" borderId="15" xfId="2" applyFont="1" applyFill="1" applyBorder="1" applyAlignment="1">
      <alignment horizontal="left" vertical="top"/>
    </xf>
    <xf numFmtId="0" fontId="29" fillId="0" borderId="45" xfId="2" applyFont="1" applyFill="1" applyBorder="1" applyAlignment="1">
      <alignment horizontal="left" vertical="top"/>
    </xf>
    <xf numFmtId="0" fontId="2" fillId="0" borderId="14" xfId="1" applyFont="1" applyFill="1" applyBorder="1" applyAlignment="1">
      <alignment horizontal="left" vertical="center" wrapText="1"/>
    </xf>
    <xf numFmtId="0" fontId="25" fillId="0" borderId="14" xfId="2" applyFont="1" applyFill="1" applyBorder="1" applyAlignment="1">
      <alignment horizontal="right" vertical="center"/>
    </xf>
    <xf numFmtId="0" fontId="20" fillId="0" borderId="14" xfId="2" applyFont="1" applyFill="1" applyBorder="1" applyAlignment="1">
      <alignment horizontal="left" vertical="top"/>
    </xf>
    <xf numFmtId="0" fontId="20" fillId="0" borderId="14" xfId="2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vertical="center" wrapText="1"/>
    </xf>
    <xf numFmtId="164" fontId="30" fillId="0" borderId="15" xfId="7" applyFont="1" applyFill="1" applyBorder="1" applyAlignment="1">
      <alignment vertical="center" wrapText="1"/>
    </xf>
    <xf numFmtId="0" fontId="31" fillId="0" borderId="14" xfId="2" applyFont="1" applyFill="1" applyBorder="1" applyAlignment="1">
      <alignment horizontal="left" vertical="top"/>
    </xf>
    <xf numFmtId="0" fontId="31" fillId="0" borderId="14" xfId="2" applyFont="1" applyFill="1" applyBorder="1" applyAlignment="1">
      <alignment horizontal="center" vertical="top"/>
    </xf>
    <xf numFmtId="2" fontId="2" fillId="0" borderId="15" xfId="1" applyNumberFormat="1" applyFont="1" applyFill="1" applyBorder="1" applyAlignment="1">
      <alignment horizontal="left" vertical="center" wrapText="1"/>
    </xf>
    <xf numFmtId="0" fontId="13" fillId="0" borderId="19" xfId="2" applyFont="1" applyFill="1" applyBorder="1" applyAlignment="1">
      <alignment horizontal="left" vertical="top"/>
    </xf>
    <xf numFmtId="0" fontId="29" fillId="0" borderId="46" xfId="2" applyFont="1" applyFill="1" applyBorder="1" applyAlignment="1">
      <alignment horizontal="left" vertical="top"/>
    </xf>
    <xf numFmtId="0" fontId="2" fillId="0" borderId="18" xfId="1" applyFont="1" applyFill="1" applyBorder="1" applyAlignment="1">
      <alignment horizontal="left" vertical="center" wrapText="1"/>
    </xf>
    <xf numFmtId="0" fontId="20" fillId="0" borderId="18" xfId="2" applyFont="1" applyFill="1" applyBorder="1" applyAlignment="1">
      <alignment horizontal="left" vertical="top"/>
    </xf>
    <xf numFmtId="0" fontId="31" fillId="0" borderId="18" xfId="2" applyFont="1" applyFill="1" applyBorder="1" applyAlignment="1">
      <alignment horizontal="left" vertical="top"/>
    </xf>
    <xf numFmtId="0" fontId="31" fillId="0" borderId="18" xfId="2" applyFont="1" applyFill="1" applyBorder="1" applyAlignment="1">
      <alignment horizontal="center" vertical="top"/>
    </xf>
    <xf numFmtId="2" fontId="2" fillId="0" borderId="19" xfId="1" applyNumberFormat="1" applyFont="1" applyFill="1" applyBorder="1" applyAlignment="1">
      <alignment horizontal="left" vertical="center" wrapText="1"/>
    </xf>
    <xf numFmtId="164" fontId="30" fillId="0" borderId="19" xfId="7" applyFont="1" applyFill="1" applyBorder="1" applyAlignment="1">
      <alignment vertical="center" wrapText="1"/>
    </xf>
    <xf numFmtId="164" fontId="30" fillId="0" borderId="47" xfId="7" applyFont="1" applyFill="1" applyBorder="1" applyAlignment="1">
      <alignment vertical="center" wrapText="1"/>
    </xf>
    <xf numFmtId="0" fontId="27" fillId="0" borderId="35" xfId="2" applyFont="1" applyFill="1" applyBorder="1" applyAlignment="1">
      <alignment horizontal="center" vertical="center"/>
    </xf>
    <xf numFmtId="0" fontId="27" fillId="0" borderId="35" xfId="2" applyFont="1" applyFill="1" applyBorder="1" applyAlignment="1">
      <alignment horizontal="left" vertical="center"/>
    </xf>
    <xf numFmtId="0" fontId="27" fillId="0" borderId="0" xfId="2" applyFont="1" applyFill="1" applyBorder="1" applyAlignment="1">
      <alignment horizontal="center" vertical="center"/>
    </xf>
    <xf numFmtId="0" fontId="27" fillId="0" borderId="0" xfId="2" applyFont="1" applyFill="1" applyBorder="1" applyAlignment="1">
      <alignment horizontal="left" vertical="center"/>
    </xf>
    <xf numFmtId="0" fontId="13" fillId="0" borderId="0" xfId="2" applyFont="1" applyFill="1" applyAlignment="1">
      <alignment horizontal="center" vertical="top"/>
    </xf>
    <xf numFmtId="0" fontId="13" fillId="0" borderId="0" xfId="2" applyFont="1" applyFill="1" applyAlignment="1">
      <alignment horizontal="left" vertical="top"/>
    </xf>
    <xf numFmtId="0" fontId="27" fillId="0" borderId="0" xfId="2" applyFont="1" applyFill="1" applyAlignment="1">
      <alignment horizontal="center" vertical="top"/>
    </xf>
    <xf numFmtId="0" fontId="2" fillId="0" borderId="0" xfId="1" applyFill="1" applyAlignment="1">
      <alignment horizontal="center"/>
    </xf>
    <xf numFmtId="0" fontId="2" fillId="0" borderId="0" xfId="1" applyFill="1" applyAlignment="1">
      <alignment horizontal="left"/>
    </xf>
    <xf numFmtId="0" fontId="54" fillId="0" borderId="0" xfId="1" applyFont="1" applyFill="1" applyAlignment="1">
      <alignment horizontal="center"/>
    </xf>
    <xf numFmtId="0" fontId="2" fillId="0" borderId="0" xfId="1" applyFill="1"/>
    <xf numFmtId="0" fontId="9" fillId="0" borderId="0" xfId="1" applyFont="1" applyFill="1" applyAlignment="1">
      <alignment horizontal="center"/>
    </xf>
    <xf numFmtId="0" fontId="56" fillId="0" borderId="0" xfId="1" applyFont="1" applyFill="1" applyBorder="1" applyAlignment="1">
      <alignment horizontal="center"/>
    </xf>
    <xf numFmtId="0" fontId="2" fillId="0" borderId="0" xfId="1" applyFill="1" applyBorder="1" applyAlignment="1"/>
    <xf numFmtId="0" fontId="11" fillId="0" borderId="2" xfId="1" applyFont="1" applyFill="1" applyBorder="1" applyAlignment="1">
      <alignment horizontal="left"/>
    </xf>
    <xf numFmtId="0" fontId="3" fillId="0" borderId="3" xfId="1" applyFont="1" applyFill="1" applyBorder="1" applyAlignment="1">
      <alignment horizontal="left"/>
    </xf>
    <xf numFmtId="0" fontId="2" fillId="0" borderId="3" xfId="1" applyFont="1" applyFill="1" applyBorder="1"/>
    <xf numFmtId="0" fontId="2" fillId="0" borderId="3" xfId="1" applyFont="1" applyFill="1" applyBorder="1" applyAlignment="1">
      <alignment horizontal="center"/>
    </xf>
    <xf numFmtId="165" fontId="11" fillId="0" borderId="3" xfId="1" applyNumberFormat="1" applyFont="1" applyFill="1" applyBorder="1" applyAlignment="1">
      <alignment horizontal="center"/>
    </xf>
    <xf numFmtId="165" fontId="11" fillId="0" borderId="3" xfId="1" applyNumberFormat="1" applyFont="1" applyFill="1" applyBorder="1" applyAlignment="1">
      <alignment vertical="center"/>
    </xf>
    <xf numFmtId="165" fontId="11" fillId="0" borderId="4" xfId="1" applyNumberFormat="1" applyFont="1" applyFill="1" applyBorder="1" applyAlignment="1">
      <alignment horizontal="left" vertical="center"/>
    </xf>
    <xf numFmtId="165" fontId="11" fillId="0" borderId="58" xfId="1" applyNumberFormat="1" applyFont="1" applyFill="1" applyBorder="1" applyAlignment="1">
      <alignment horizontal="center"/>
    </xf>
    <xf numFmtId="165" fontId="11" fillId="0" borderId="59" xfId="1" applyNumberFormat="1" applyFont="1" applyFill="1" applyBorder="1" applyAlignment="1">
      <alignment vertical="center"/>
    </xf>
    <xf numFmtId="165" fontId="11" fillId="0" borderId="60" xfId="1" applyNumberFormat="1" applyFont="1" applyFill="1" applyBorder="1" applyAlignment="1">
      <alignment vertical="center"/>
    </xf>
    <xf numFmtId="165" fontId="11" fillId="0" borderId="60" xfId="1" applyNumberFormat="1" applyFont="1" applyFill="1" applyBorder="1" applyAlignment="1">
      <alignment horizontal="left" vertical="center"/>
    </xf>
    <xf numFmtId="37" fontId="55" fillId="0" borderId="61" xfId="1" applyNumberFormat="1" applyFont="1" applyFill="1" applyBorder="1" applyAlignment="1">
      <alignment horizontal="left" vertical="center"/>
    </xf>
    <xf numFmtId="0" fontId="11" fillId="0" borderId="16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left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17" fontId="2" fillId="0" borderId="1" xfId="1" applyNumberFormat="1" applyFont="1" applyFill="1" applyBorder="1" applyAlignment="1">
      <alignment horizontal="center"/>
    </xf>
    <xf numFmtId="165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7" xfId="1" applyFont="1" applyFill="1" applyBorder="1" applyAlignment="1">
      <alignment horizontal="left" vertical="center"/>
    </xf>
    <xf numFmtId="17" fontId="2" fillId="0" borderId="47" xfId="1" applyNumberFormat="1" applyFont="1" applyFill="1" applyBorder="1" applyAlignment="1">
      <alignment horizontal="center"/>
    </xf>
    <xf numFmtId="165" fontId="11" fillId="0" borderId="62" xfId="1" applyNumberFormat="1" applyFont="1" applyFill="1" applyBorder="1" applyAlignment="1">
      <alignment vertical="center"/>
    </xf>
    <xf numFmtId="0" fontId="11" fillId="0" borderId="63" xfId="1" applyFont="1" applyFill="1" applyBorder="1" applyAlignment="1">
      <alignment vertical="center"/>
    </xf>
    <xf numFmtId="0" fontId="11" fillId="0" borderId="63" xfId="1" applyFont="1" applyFill="1" applyBorder="1" applyAlignment="1">
      <alignment horizontal="left" vertical="center"/>
    </xf>
    <xf numFmtId="37" fontId="55" fillId="0" borderId="64" xfId="1" applyNumberFormat="1" applyFont="1" applyFill="1" applyBorder="1" applyAlignment="1">
      <alignment horizontal="left" vertical="center"/>
    </xf>
    <xf numFmtId="0" fontId="57" fillId="0" borderId="0" xfId="1" applyFont="1" applyFill="1" applyBorder="1" applyAlignment="1">
      <alignment horizontal="center"/>
    </xf>
    <xf numFmtId="0" fontId="15" fillId="0" borderId="0" xfId="1" applyFont="1" applyFill="1" applyBorder="1" applyAlignment="1">
      <alignment horizontal="left"/>
    </xf>
    <xf numFmtId="0" fontId="57" fillId="0" borderId="0" xfId="1" applyFont="1" applyFill="1"/>
    <xf numFmtId="0" fontId="15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57" fillId="0" borderId="0" xfId="1" applyFont="1" applyFill="1" applyBorder="1"/>
    <xf numFmtId="0" fontId="11" fillId="0" borderId="0" xfId="1" applyFont="1" applyFill="1" applyAlignment="1">
      <alignment horizontal="center"/>
    </xf>
    <xf numFmtId="0" fontId="11" fillId="0" borderId="0" xfId="1" applyFont="1" applyFill="1" applyAlignment="1">
      <alignment horizontal="left"/>
    </xf>
    <xf numFmtId="0" fontId="11" fillId="0" borderId="0" xfId="1" applyFont="1" applyFill="1"/>
    <xf numFmtId="0" fontId="55" fillId="0" borderId="65" xfId="1" applyFont="1" applyFill="1" applyBorder="1" applyAlignment="1">
      <alignment horizontal="center"/>
    </xf>
    <xf numFmtId="0" fontId="55" fillId="0" borderId="7" xfId="1" applyFont="1" applyFill="1" applyBorder="1" applyAlignment="1">
      <alignment horizontal="left" vertical="center"/>
    </xf>
    <xf numFmtId="0" fontId="55" fillId="0" borderId="7" xfId="1" applyFont="1" applyFill="1" applyBorder="1" applyAlignment="1">
      <alignment horizontal="center"/>
    </xf>
    <xf numFmtId="3" fontId="11" fillId="0" borderId="26" xfId="1" applyNumberFormat="1" applyFont="1" applyFill="1" applyBorder="1" applyAlignment="1">
      <alignment horizontal="center" vertical="center"/>
    </xf>
    <xf numFmtId="170" fontId="11" fillId="0" borderId="26" xfId="1" applyNumberFormat="1" applyFont="1" applyFill="1" applyBorder="1" applyAlignment="1">
      <alignment horizontal="left" vertical="center"/>
    </xf>
    <xf numFmtId="10" fontId="11" fillId="0" borderId="26" xfId="84" applyNumberFormat="1" applyFont="1" applyFill="1" applyBorder="1" applyAlignment="1">
      <alignment horizontal="center" vertical="center"/>
    </xf>
    <xf numFmtId="4" fontId="11" fillId="0" borderId="26" xfId="84" applyNumberFormat="1" applyFont="1" applyFill="1" applyBorder="1" applyAlignment="1">
      <alignment vertical="center"/>
    </xf>
    <xf numFmtId="4" fontId="11" fillId="0" borderId="26" xfId="1" applyNumberFormat="1" applyFont="1" applyFill="1" applyBorder="1" applyAlignment="1">
      <alignment vertical="center"/>
    </xf>
    <xf numFmtId="0" fontId="23" fillId="0" borderId="22" xfId="1" applyFont="1" applyFill="1" applyBorder="1" applyAlignment="1">
      <alignment horizontal="left" vertical="center"/>
    </xf>
    <xf numFmtId="10" fontId="11" fillId="0" borderId="22" xfId="84" applyNumberFormat="1" applyFont="1" applyFill="1" applyBorder="1" applyAlignment="1" applyProtection="1">
      <alignment horizontal="right" vertical="center"/>
      <protection locked="0"/>
    </xf>
    <xf numFmtId="10" fontId="11" fillId="0" borderId="22" xfId="1" applyNumberFormat="1" applyFont="1" applyFill="1" applyBorder="1" applyAlignment="1">
      <alignment vertical="center"/>
    </xf>
    <xf numFmtId="170" fontId="2" fillId="0" borderId="26" xfId="1" applyNumberFormat="1" applyFont="1" applyFill="1" applyBorder="1" applyAlignment="1">
      <alignment horizontal="left" vertical="center"/>
    </xf>
    <xf numFmtId="170" fontId="11" fillId="0" borderId="26" xfId="1" applyNumberFormat="1" applyFont="1" applyFill="1" applyBorder="1" applyAlignment="1">
      <alignment horizontal="left" vertical="center" wrapText="1"/>
    </xf>
    <xf numFmtId="0" fontId="23" fillId="0" borderId="22" xfId="1" applyFont="1" applyFill="1" applyBorder="1" applyAlignment="1">
      <alignment horizontal="left" vertical="center" wrapText="1"/>
    </xf>
    <xf numFmtId="10" fontId="11" fillId="0" borderId="23" xfId="1" applyNumberFormat="1" applyFont="1" applyFill="1" applyBorder="1" applyAlignment="1">
      <alignment vertical="center"/>
    </xf>
    <xf numFmtId="0" fontId="11" fillId="0" borderId="7" xfId="1" applyFont="1" applyFill="1" applyBorder="1" applyAlignment="1">
      <alignment horizontal="center"/>
    </xf>
    <xf numFmtId="0" fontId="55" fillId="0" borderId="66" xfId="1" applyFont="1" applyFill="1" applyBorder="1" applyAlignment="1">
      <alignment horizontal="left" vertical="center"/>
    </xf>
    <xf numFmtId="171" fontId="11" fillId="0" borderId="33" xfId="84" applyNumberFormat="1" applyFont="1" applyFill="1" applyBorder="1" applyAlignment="1">
      <alignment horizontal="center"/>
    </xf>
    <xf numFmtId="4" fontId="55" fillId="0" borderId="33" xfId="84" applyNumberFormat="1" applyFont="1" applyFill="1" applyBorder="1"/>
    <xf numFmtId="4" fontId="55" fillId="0" borderId="67" xfId="84" applyNumberFormat="1" applyFont="1" applyFill="1" applyBorder="1"/>
    <xf numFmtId="164" fontId="55" fillId="0" borderId="58" xfId="7" applyFont="1" applyFill="1" applyBorder="1" applyAlignment="1">
      <alignment horizontal="right" vertical="center"/>
    </xf>
    <xf numFmtId="0" fontId="55" fillId="0" borderId="68" xfId="1" applyFont="1" applyFill="1" applyBorder="1" applyAlignment="1">
      <alignment horizontal="left" vertical="center"/>
    </xf>
    <xf numFmtId="171" fontId="11" fillId="0" borderId="69" xfId="84" applyNumberFormat="1" applyFont="1" applyFill="1" applyBorder="1" applyAlignment="1">
      <alignment horizontal="center"/>
    </xf>
    <xf numFmtId="4" fontId="23" fillId="0" borderId="69" xfId="84" applyNumberFormat="1" applyFont="1" applyFill="1" applyBorder="1" applyAlignment="1">
      <alignment horizontal="right" vertical="center"/>
    </xf>
    <xf numFmtId="4" fontId="23" fillId="0" borderId="70" xfId="84" applyNumberFormat="1" applyFont="1" applyFill="1" applyBorder="1" applyAlignment="1">
      <alignment horizontal="right" vertical="center"/>
    </xf>
    <xf numFmtId="164" fontId="55" fillId="0" borderId="71" xfId="7" applyFont="1" applyFill="1" applyBorder="1" applyAlignment="1">
      <alignment horizontal="center" vertical="center"/>
    </xf>
    <xf numFmtId="10" fontId="11" fillId="0" borderId="73" xfId="71" applyNumberFormat="1" applyFont="1" applyFill="1" applyBorder="1" applyAlignment="1">
      <alignment horizontal="right"/>
    </xf>
    <xf numFmtId="10" fontId="11" fillId="0" borderId="33" xfId="71" applyNumberFormat="1" applyFont="1" applyFill="1" applyBorder="1" applyAlignment="1">
      <alignment horizontal="right"/>
    </xf>
    <xf numFmtId="10" fontId="11" fillId="0" borderId="67" xfId="71" applyNumberFormat="1" applyFont="1" applyFill="1" applyBorder="1" applyAlignment="1">
      <alignment horizontal="right"/>
    </xf>
    <xf numFmtId="10" fontId="11" fillId="0" borderId="74" xfId="1" applyNumberFormat="1" applyFont="1" applyFill="1" applyBorder="1" applyAlignment="1">
      <alignment horizontal="right"/>
    </xf>
    <xf numFmtId="10" fontId="11" fillId="0" borderId="69" xfId="1" applyNumberFormat="1" applyFont="1" applyFill="1" applyBorder="1" applyAlignment="1">
      <alignment horizontal="right"/>
    </xf>
    <xf numFmtId="10" fontId="11" fillId="0" borderId="70" xfId="1" applyNumberFormat="1" applyFont="1" applyFill="1" applyBorder="1" applyAlignment="1">
      <alignment horizontal="right"/>
    </xf>
    <xf numFmtId="0" fontId="55" fillId="0" borderId="47" xfId="1" applyFont="1" applyFill="1" applyBorder="1" applyAlignment="1">
      <alignment horizontal="center"/>
    </xf>
    <xf numFmtId="0" fontId="2" fillId="0" borderId="75" xfId="1" applyFill="1" applyBorder="1"/>
    <xf numFmtId="0" fontId="2" fillId="0" borderId="76" xfId="1" applyFill="1" applyBorder="1"/>
    <xf numFmtId="0" fontId="2" fillId="0" borderId="77" xfId="1" applyFill="1" applyBorder="1"/>
    <xf numFmtId="0" fontId="2" fillId="0" borderId="78" xfId="1" applyFill="1" applyBorder="1"/>
    <xf numFmtId="165" fontId="10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1" applyFont="1" applyFill="1"/>
    <xf numFmtId="0" fontId="2" fillId="0" borderId="79" xfId="1" applyFill="1" applyBorder="1"/>
    <xf numFmtId="0" fontId="2" fillId="0" borderId="80" xfId="1" applyFill="1" applyBorder="1"/>
    <xf numFmtId="0" fontId="2" fillId="0" borderId="48" xfId="1" applyFill="1" applyBorder="1"/>
    <xf numFmtId="0" fontId="2" fillId="0" borderId="81" xfId="1" applyFill="1" applyBorder="1"/>
    <xf numFmtId="0" fontId="2" fillId="0" borderId="0" xfId="1" applyFill="1" applyAlignment="1">
      <alignment horizontal="centerContinuous"/>
    </xf>
    <xf numFmtId="165" fontId="0" fillId="0" borderId="79" xfId="84" applyFont="1" applyFill="1" applyBorder="1" applyAlignment="1">
      <alignment horizontal="centerContinuous"/>
    </xf>
    <xf numFmtId="165" fontId="0" fillId="0" borderId="80" xfId="84" applyFont="1" applyFill="1" applyBorder="1" applyAlignment="1">
      <alignment horizontal="centerContinuous"/>
    </xf>
    <xf numFmtId="165" fontId="0" fillId="0" borderId="48" xfId="84" applyFont="1" applyFill="1" applyBorder="1" applyAlignment="1">
      <alignment horizontal="centerContinuous"/>
    </xf>
    <xf numFmtId="165" fontId="0" fillId="0" borderId="82" xfId="84" applyFont="1" applyFill="1" applyBorder="1"/>
    <xf numFmtId="165" fontId="0" fillId="0" borderId="83" xfId="84" applyFont="1" applyFill="1" applyBorder="1"/>
    <xf numFmtId="165" fontId="0" fillId="0" borderId="84" xfId="84" applyFont="1" applyFill="1" applyBorder="1"/>
    <xf numFmtId="0" fontId="2" fillId="0" borderId="83" xfId="1" applyFill="1" applyBorder="1"/>
    <xf numFmtId="0" fontId="2" fillId="0" borderId="85" xfId="1" applyFill="1" applyBorder="1"/>
    <xf numFmtId="165" fontId="0" fillId="0" borderId="0" xfId="84" applyFont="1" applyFill="1"/>
    <xf numFmtId="165" fontId="2" fillId="0" borderId="0" xfId="1" applyNumberFormat="1" applyFill="1" applyAlignment="1">
      <alignment horizontal="right"/>
    </xf>
    <xf numFmtId="0" fontId="3" fillId="0" borderId="0" xfId="1" applyFont="1" applyFill="1" applyAlignment="1">
      <alignment horizontal="left"/>
    </xf>
    <xf numFmtId="165" fontId="3" fillId="0" borderId="0" xfId="84" applyFont="1" applyFill="1"/>
    <xf numFmtId="0" fontId="3" fillId="0" borderId="0" xfId="1" applyFont="1" applyFill="1" applyAlignment="1">
      <alignment horizontal="center"/>
    </xf>
    <xf numFmtId="165" fontId="2" fillId="0" borderId="0" xfId="84" applyFont="1" applyFill="1"/>
    <xf numFmtId="0" fontId="2" fillId="0" borderId="0" xfId="1" quotePrefix="1" applyFill="1" applyAlignment="1">
      <alignment horizontal="left"/>
    </xf>
    <xf numFmtId="0" fontId="10" fillId="0" borderId="0" xfId="1" applyFont="1" applyFill="1" applyAlignment="1">
      <alignment horizontal="left"/>
    </xf>
    <xf numFmtId="0" fontId="10" fillId="0" borderId="0" xfId="1" applyFont="1" applyFill="1"/>
    <xf numFmtId="0" fontId="2" fillId="0" borderId="0" xfId="1" applyFont="1" applyFill="1" applyAlignment="1">
      <alignment horizontal="left"/>
    </xf>
    <xf numFmtId="0" fontId="2" fillId="0" borderId="0" xfId="1" applyFont="1" applyFill="1"/>
    <xf numFmtId="0" fontId="3" fillId="0" borderId="0" xfId="1" quotePrefix="1" applyFont="1" applyFill="1" applyAlignment="1">
      <alignment horizontal="left"/>
    </xf>
    <xf numFmtId="164" fontId="59" fillId="0" borderId="71" xfId="7" applyFont="1" applyFill="1" applyBorder="1" applyAlignment="1">
      <alignment horizontal="right" vertical="center"/>
    </xf>
    <xf numFmtId="0" fontId="11" fillId="0" borderId="2" xfId="1" applyFont="1" applyFill="1" applyBorder="1" applyAlignment="1">
      <alignment horizontal="right"/>
    </xf>
    <xf numFmtId="0" fontId="11" fillId="0" borderId="10" xfId="1" applyFont="1" applyFill="1" applyBorder="1" applyAlignment="1">
      <alignment horizontal="right"/>
    </xf>
    <xf numFmtId="0" fontId="2" fillId="0" borderId="21" xfId="1" applyFont="1" applyFill="1" applyBorder="1" applyAlignment="1">
      <alignment horizontal="right" vertical="center" wrapText="1"/>
    </xf>
    <xf numFmtId="0" fontId="20" fillId="0" borderId="0" xfId="2" applyFont="1" applyFill="1" applyBorder="1" applyAlignment="1">
      <alignment horizontal="center" vertical="top"/>
    </xf>
    <xf numFmtId="0" fontId="20" fillId="0" borderId="21" xfId="2" applyFont="1" applyFill="1" applyBorder="1" applyAlignment="1">
      <alignment horizontal="center" vertical="top"/>
    </xf>
    <xf numFmtId="0" fontId="2" fillId="0" borderId="44" xfId="1" applyFont="1" applyFill="1" applyBorder="1" applyAlignment="1">
      <alignment horizontal="right" vertical="center" wrapText="1"/>
    </xf>
    <xf numFmtId="0" fontId="2" fillId="0" borderId="45" xfId="1" applyFont="1" applyFill="1" applyBorder="1" applyAlignment="1">
      <alignment horizontal="right" vertical="center" wrapText="1"/>
    </xf>
    <xf numFmtId="0" fontId="2" fillId="0" borderId="46" xfId="1" applyFont="1" applyFill="1" applyBorder="1" applyAlignment="1">
      <alignment horizontal="right" vertical="center" wrapText="1"/>
    </xf>
    <xf numFmtId="0" fontId="33" fillId="0" borderId="24" xfId="2" applyFont="1" applyFill="1" applyBorder="1" applyAlignment="1">
      <alignment horizontal="left" vertical="center"/>
    </xf>
    <xf numFmtId="0" fontId="27" fillId="0" borderId="48" xfId="2" applyFont="1" applyFill="1" applyBorder="1" applyAlignment="1">
      <alignment horizontal="left" vertical="center"/>
    </xf>
    <xf numFmtId="0" fontId="20" fillId="0" borderId="0" xfId="2" applyFont="1" applyFill="1" applyAlignment="1">
      <alignment horizontal="center" vertical="top"/>
    </xf>
    <xf numFmtId="0" fontId="27" fillId="0" borderId="27" xfId="2" applyFont="1" applyBorder="1" applyAlignment="1">
      <alignment horizontal="left" vertical="center" wrapText="1"/>
    </xf>
    <xf numFmtId="0" fontId="27" fillId="0" borderId="36" xfId="2" applyFont="1" applyBorder="1" applyAlignment="1">
      <alignment horizontal="left" vertical="center" wrapText="1"/>
    </xf>
    <xf numFmtId="0" fontId="27" fillId="0" borderId="28" xfId="2" applyFont="1" applyBorder="1" applyAlignment="1">
      <alignment horizontal="left" vertical="center" wrapText="1"/>
    </xf>
    <xf numFmtId="4" fontId="2" fillId="0" borderId="23" xfId="1" applyNumberFormat="1" applyFont="1" applyFill="1" applyBorder="1" applyAlignment="1">
      <alignment horizontal="right" vertical="center" wrapText="1"/>
    </xf>
    <xf numFmtId="4" fontId="2" fillId="0" borderId="26" xfId="1" applyNumberFormat="1" applyFont="1" applyFill="1" applyBorder="1" applyAlignment="1">
      <alignment horizontal="right" vertical="center" wrapText="1"/>
    </xf>
    <xf numFmtId="49" fontId="9" fillId="3" borderId="31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9" fillId="3" borderId="32" xfId="1" applyNumberFormat="1" applyFont="1" applyFill="1" applyBorder="1" applyAlignment="1">
      <alignment horizontal="center" vertical="center" wrapText="1"/>
    </xf>
    <xf numFmtId="164" fontId="9" fillId="0" borderId="31" xfId="7" applyFont="1" applyFill="1" applyBorder="1" applyAlignment="1">
      <alignment horizontal="center" vertical="center" wrapText="1"/>
    </xf>
    <xf numFmtId="164" fontId="9" fillId="0" borderId="6" xfId="7" applyFont="1" applyFill="1" applyBorder="1" applyAlignment="1">
      <alignment horizontal="center" vertical="center" wrapText="1"/>
    </xf>
    <xf numFmtId="0" fontId="27" fillId="0" borderId="48" xfId="2" applyFont="1" applyBorder="1" applyAlignment="1">
      <alignment horizontal="left" vertical="center" wrapText="1"/>
    </xf>
    <xf numFmtId="0" fontId="27" fillId="0" borderId="0" xfId="2" applyFont="1" applyBorder="1" applyAlignment="1">
      <alignment horizontal="left" vertical="center" wrapText="1"/>
    </xf>
    <xf numFmtId="0" fontId="27" fillId="0" borderId="49" xfId="2" applyFont="1" applyBorder="1" applyAlignment="1">
      <alignment horizontal="left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49" fontId="21" fillId="0" borderId="22" xfId="6" applyNumberFormat="1" applyFont="1" applyFill="1" applyBorder="1" applyAlignment="1">
      <alignment horizontal="center" vertical="center" wrapText="1"/>
    </xf>
    <xf numFmtId="166" fontId="2" fillId="0" borderId="23" xfId="5" applyFont="1" applyFill="1" applyBorder="1" applyAlignment="1">
      <alignment horizontal="center" vertical="center" wrapText="1"/>
    </xf>
    <xf numFmtId="166" fontId="2" fillId="0" borderId="26" xfId="5" applyFont="1" applyFill="1" applyBorder="1" applyAlignment="1">
      <alignment horizontal="center" vertical="center" wrapText="1"/>
    </xf>
    <xf numFmtId="165" fontId="2" fillId="0" borderId="23" xfId="3" applyFont="1" applyFill="1" applyBorder="1" applyAlignment="1">
      <alignment horizontal="right" vertical="center" wrapText="1"/>
    </xf>
    <xf numFmtId="165" fontId="2" fillId="0" borderId="26" xfId="3" applyFont="1" applyFill="1" applyBorder="1" applyAlignment="1">
      <alignment horizontal="right" vertical="center" wrapText="1"/>
    </xf>
    <xf numFmtId="49" fontId="21" fillId="0" borderId="23" xfId="6" applyNumberFormat="1" applyFont="1" applyFill="1" applyBorder="1" applyAlignment="1">
      <alignment horizontal="center" vertical="center" wrapText="1"/>
    </xf>
    <xf numFmtId="49" fontId="21" fillId="0" borderId="43" xfId="6" applyNumberFormat="1" applyFont="1" applyFill="1" applyBorder="1" applyAlignment="1">
      <alignment horizontal="center" vertical="center" wrapText="1"/>
    </xf>
    <xf numFmtId="166" fontId="2" fillId="0" borderId="24" xfId="5" applyFont="1" applyFill="1" applyBorder="1" applyAlignment="1">
      <alignment horizontal="center" vertical="center" wrapText="1"/>
    </xf>
    <xf numFmtId="166" fontId="2" fillId="0" borderId="27" xfId="5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165" fontId="2" fillId="0" borderId="23" xfId="3" applyFont="1" applyFill="1" applyBorder="1" applyAlignment="1">
      <alignment horizontal="center" vertical="center" wrapText="1"/>
    </xf>
    <xf numFmtId="165" fontId="2" fillId="0" borderId="26" xfId="3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49" fontId="21" fillId="0" borderId="40" xfId="6" applyNumberFormat="1" applyFont="1" applyFill="1" applyBorder="1" applyAlignment="1">
      <alignment horizontal="center" vertical="center" wrapText="1"/>
    </xf>
    <xf numFmtId="49" fontId="21" fillId="0" borderId="42" xfId="6" applyNumberFormat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49" fontId="21" fillId="0" borderId="26" xfId="6" applyNumberFormat="1" applyFont="1" applyFill="1" applyBorder="1" applyAlignment="1">
      <alignment horizontal="center" vertical="center" wrapText="1"/>
    </xf>
    <xf numFmtId="4" fontId="2" fillId="0" borderId="22" xfId="1" applyNumberFormat="1" applyFont="1" applyFill="1" applyBorder="1" applyAlignment="1">
      <alignment horizontal="right" vertical="center" wrapText="1"/>
    </xf>
    <xf numFmtId="0" fontId="22" fillId="0" borderId="23" xfId="2" applyFont="1" applyFill="1" applyBorder="1" applyAlignment="1">
      <alignment horizontal="center" vertical="center"/>
    </xf>
    <xf numFmtId="0" fontId="22" fillId="0" borderId="26" xfId="2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 wrapText="1"/>
    </xf>
    <xf numFmtId="166" fontId="2" fillId="0" borderId="22" xfId="5" applyFont="1" applyFill="1" applyBorder="1" applyAlignment="1">
      <alignment horizontal="center" vertical="center" wrapText="1"/>
    </xf>
    <xf numFmtId="165" fontId="2" fillId="0" borderId="22" xfId="3" applyFont="1" applyFill="1" applyBorder="1" applyAlignment="1">
      <alignment horizontal="center" vertical="center" wrapText="1"/>
    </xf>
    <xf numFmtId="0" fontId="4" fillId="0" borderId="5" xfId="2" applyBorder="1"/>
    <xf numFmtId="0" fontId="4" fillId="0" borderId="32" xfId="2" applyBorder="1"/>
    <xf numFmtId="0" fontId="5" fillId="0" borderId="0" xfId="2" applyFont="1" applyFill="1" applyAlignment="1">
      <alignment horizontal="center"/>
    </xf>
    <xf numFmtId="0" fontId="7" fillId="0" borderId="0" xfId="2" applyFont="1" applyFill="1" applyAlignment="1">
      <alignment horizontal="center"/>
    </xf>
    <xf numFmtId="0" fontId="8" fillId="0" borderId="0" xfId="2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9" fontId="11" fillId="0" borderId="5" xfId="1" applyNumberFormat="1" applyFont="1" applyFill="1" applyBorder="1" applyAlignment="1">
      <alignment horizontal="center" vertical="center" wrapText="1"/>
    </xf>
    <xf numFmtId="9" fontId="11" fillId="0" borderId="6" xfId="1" applyNumberFormat="1" applyFont="1" applyFill="1" applyBorder="1" applyAlignment="1">
      <alignment horizontal="center" vertical="center" wrapText="1"/>
    </xf>
    <xf numFmtId="0" fontId="21" fillId="0" borderId="23" xfId="6" applyNumberFormat="1" applyFont="1" applyFill="1" applyBorder="1" applyAlignment="1">
      <alignment horizontal="center" vertical="center" wrapText="1"/>
    </xf>
    <xf numFmtId="0" fontId="21" fillId="0" borderId="26" xfId="6" applyNumberFormat="1" applyFont="1" applyFill="1" applyBorder="1" applyAlignment="1">
      <alignment horizontal="center" vertical="center" wrapText="1"/>
    </xf>
    <xf numFmtId="0" fontId="55" fillId="0" borderId="62" xfId="1" applyFont="1" applyFill="1" applyBorder="1" applyAlignment="1">
      <alignment horizontal="center" vertical="center"/>
    </xf>
    <xf numFmtId="0" fontId="55" fillId="0" borderId="64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17" fontId="55" fillId="0" borderId="1" xfId="1" applyNumberFormat="1" applyFont="1" applyFill="1" applyBorder="1" applyAlignment="1">
      <alignment horizontal="center"/>
    </xf>
    <xf numFmtId="0" fontId="55" fillId="0" borderId="1" xfId="1" applyFont="1" applyFill="1" applyBorder="1" applyAlignment="1">
      <alignment horizontal="center"/>
    </xf>
    <xf numFmtId="0" fontId="55" fillId="0" borderId="17" xfId="1" applyFont="1" applyFill="1" applyBorder="1" applyAlignment="1">
      <alignment horizontal="center"/>
    </xf>
    <xf numFmtId="0" fontId="55" fillId="0" borderId="66" xfId="1" applyFont="1" applyFill="1" applyBorder="1" applyAlignment="1">
      <alignment horizontal="center" vertical="center"/>
    </xf>
    <xf numFmtId="0" fontId="55" fillId="0" borderId="72" xfId="1" applyFont="1" applyFill="1" applyBorder="1" applyAlignment="1">
      <alignment horizontal="center" vertical="center"/>
    </xf>
  </cellXfs>
  <cellStyles count="85"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20% - Ênfase1 100" xfId="16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60% - Accent1" xfId="23"/>
    <cellStyle name="60% - Accent2" xfId="24"/>
    <cellStyle name="60% - Accent3" xfId="25"/>
    <cellStyle name="60% - Accent4" xfId="26"/>
    <cellStyle name="60% - Accent5" xfId="27"/>
    <cellStyle name="60% - Accent6" xfId="28"/>
    <cellStyle name="60% - Ênfase6 37" xfId="29"/>
    <cellStyle name="Accent1" xfId="30"/>
    <cellStyle name="Accent2" xfId="31"/>
    <cellStyle name="Accent3" xfId="32"/>
    <cellStyle name="Accent4" xfId="33"/>
    <cellStyle name="Accent5" xfId="34"/>
    <cellStyle name="Accent6" xfId="35"/>
    <cellStyle name="Bad" xfId="36"/>
    <cellStyle name="Calculation" xfId="37"/>
    <cellStyle name="Check Cell" xfId="38"/>
    <cellStyle name="Excel Built-in Excel Built-in Excel Built-in Excel Built-in Excel Built-in Excel Built-in Excel Built-in Excel Built-in Separador de milhares 4" xfId="39"/>
    <cellStyle name="Excel Built-in Excel Built-in Excel Built-in Excel Built-in Excel Built-in Excel Built-in Excel Built-in Separador de milhares 4" xfId="5"/>
    <cellStyle name="Excel Built-in Excel Built-in Excel Built-in Excel Built-in Excel Built-in Excel Built-in Excel Built-in Separador de milhares 4 2" xfId="40"/>
    <cellStyle name="Excel Built-in Normal" xfId="4"/>
    <cellStyle name="Excel Built-in Normal 1" xfId="41"/>
    <cellStyle name="Excel Built-in Normal 2" xfId="9"/>
    <cellStyle name="Excel Built-in Normal_planilha atualizada julho II" xfId="42"/>
    <cellStyle name="Excel_BuiltIn_Comma" xfId="43"/>
    <cellStyle name="Explanatory Text" xfId="44"/>
    <cellStyle name="Good" xfId="45"/>
    <cellStyle name="Heading" xfId="46"/>
    <cellStyle name="Heading 1" xfId="47"/>
    <cellStyle name="Heading 2" xfId="48"/>
    <cellStyle name="Heading 3" xfId="49"/>
    <cellStyle name="Heading 4" xfId="50"/>
    <cellStyle name="Heading1" xfId="51"/>
    <cellStyle name="Input" xfId="52"/>
    <cellStyle name="Linked Cell" xfId="53"/>
    <cellStyle name="Moeda 2" xfId="7"/>
    <cellStyle name="Neutral" xfId="54"/>
    <cellStyle name="Normal" xfId="0" builtinId="0"/>
    <cellStyle name="Normal 10" xfId="55"/>
    <cellStyle name="Normal 11" xfId="56"/>
    <cellStyle name="Normal 2" xfId="1"/>
    <cellStyle name="Normal 3" xfId="2"/>
    <cellStyle name="Normal 3 2" xfId="57"/>
    <cellStyle name="Normal 3_Planilha_comparativa_automática_SINAPI_CPOS (version 1)" xfId="58"/>
    <cellStyle name="Normal 4" xfId="59"/>
    <cellStyle name="Normal 5" xfId="60"/>
    <cellStyle name="Normal 5 2" xfId="61"/>
    <cellStyle name="Normal 6" xfId="8"/>
    <cellStyle name="Normal 6 2" xfId="62"/>
    <cellStyle name="Normal 7" xfId="63"/>
    <cellStyle name="Normal 8" xfId="6"/>
    <cellStyle name="Normal 8 2" xfId="64"/>
    <cellStyle name="Normal 9" xfId="65"/>
    <cellStyle name="Note" xfId="66"/>
    <cellStyle name="Output" xfId="67"/>
    <cellStyle name="Porcentagem 2" xfId="68"/>
    <cellStyle name="Porcentagem 3" xfId="69"/>
    <cellStyle name="Porcentagem 4" xfId="70"/>
    <cellStyle name="Porcentagem 5" xfId="71"/>
    <cellStyle name="Porcentagem 6" xfId="72"/>
    <cellStyle name="Porcentagem 7" xfId="73"/>
    <cellStyle name="Result" xfId="74"/>
    <cellStyle name="Result2" xfId="75"/>
    <cellStyle name="Separador de milhares 2" xfId="3"/>
    <cellStyle name="Separador de milhares 2 2" xfId="84"/>
    <cellStyle name="Separador de milhares 3" xfId="76"/>
    <cellStyle name="Separador de milhares 3 2" xfId="77"/>
    <cellStyle name="Separador de milhares 4" xfId="78"/>
    <cellStyle name="Separador de milhares 5" xfId="79"/>
    <cellStyle name="Separador de milhares 6" xfId="80"/>
    <cellStyle name="Title" xfId="81"/>
    <cellStyle name="Vírgula 2" xfId="82"/>
    <cellStyle name="Warning Text" xfId="83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494500452863173E-2"/>
          <c:y val="0"/>
          <c:w val="0.88788788081863756"/>
          <c:h val="0.7151885726981550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7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Cronograma!$D$40:$U$40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12577152"/>
        <c:axId val="112578944"/>
      </c:barChart>
      <c:catAx>
        <c:axId val="112577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12578944"/>
        <c:crosses val="autoZero"/>
        <c:auto val="1"/>
        <c:lblAlgn val="ctr"/>
        <c:lblOffset val="100"/>
        <c:noMultiLvlLbl val="0"/>
      </c:catAx>
      <c:valAx>
        <c:axId val="112578944"/>
        <c:scaling>
          <c:orientation val="minMax"/>
        </c:scaling>
        <c:delete val="1"/>
        <c:axPos val="l"/>
        <c:numFmt formatCode="#,##0.00" sourceLinked="1"/>
        <c:majorTickMark val="none"/>
        <c:minorTickMark val="none"/>
        <c:tickLblPos val="nextTo"/>
        <c:crossAx val="1125771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208" footer="0.314960620000002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2719917</xdr:colOff>
      <xdr:row>43</xdr:row>
      <xdr:rowOff>115168</xdr:rowOff>
    </xdr:from>
    <xdr:to>
      <xdr:col>21</xdr:col>
      <xdr:colOff>179917</xdr:colOff>
      <xdr:row>49</xdr:row>
      <xdr:rowOff>119063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525"/>
  <sheetViews>
    <sheetView showGridLines="0" tabSelected="1" view="pageBreakPreview" zoomScale="90" zoomScaleNormal="85" zoomScaleSheetLayoutView="90" workbookViewId="0">
      <pane ySplit="7" topLeftCell="A13" activePane="bottomLeft" state="frozen"/>
      <selection pane="bottomLeft" activeCell="P14" sqref="P14"/>
    </sheetView>
  </sheetViews>
  <sheetFormatPr defaultColWidth="10.28515625" defaultRowHeight="12.75" outlineLevelRow="1"/>
  <cols>
    <col min="1" max="1" width="3.42578125" style="1" hidden="1" customWidth="1"/>
    <col min="2" max="2" width="9.7109375" style="62" customWidth="1"/>
    <col min="3" max="3" width="11.28515625" style="62" customWidth="1"/>
    <col min="4" max="4" width="8.7109375" style="62" customWidth="1"/>
    <col min="5" max="5" width="80.7109375" style="63" customWidth="1"/>
    <col min="6" max="6" width="6.42578125" style="62" customWidth="1"/>
    <col min="7" max="7" width="10.85546875" style="64" customWidth="1"/>
    <col min="8" max="8" width="11.5703125" style="65" customWidth="1"/>
    <col min="9" max="9" width="11" style="53" customWidth="1"/>
    <col min="10" max="10" width="17.85546875" style="53" customWidth="1"/>
    <col min="11" max="11" width="15.28515625" style="1" customWidth="1"/>
    <col min="12" max="12" width="12.42578125" style="1" bestFit="1" customWidth="1"/>
    <col min="13" max="16384" width="10.28515625" style="1"/>
  </cols>
  <sheetData>
    <row r="1" spans="1:15" ht="29.25" customHeight="1">
      <c r="B1" s="2"/>
      <c r="C1" s="3"/>
      <c r="D1" s="384"/>
      <c r="E1" s="384"/>
      <c r="F1" s="384"/>
      <c r="G1" s="384"/>
      <c r="H1" s="384"/>
      <c r="I1" s="4"/>
      <c r="J1" s="4"/>
    </row>
    <row r="2" spans="1:15" ht="14.25" customHeight="1">
      <c r="B2" s="2"/>
      <c r="C2" s="3"/>
      <c r="D2" s="385"/>
      <c r="E2" s="385"/>
      <c r="F2" s="385"/>
      <c r="G2" s="385"/>
      <c r="H2" s="385"/>
      <c r="I2" s="4"/>
      <c r="J2" s="4"/>
    </row>
    <row r="3" spans="1:15" ht="23.1" customHeight="1">
      <c r="B3" s="2"/>
      <c r="C3" s="3"/>
      <c r="D3" s="386"/>
      <c r="E3" s="386"/>
      <c r="F3" s="386"/>
      <c r="G3" s="386"/>
      <c r="H3" s="386"/>
      <c r="I3" s="4"/>
      <c r="J3" s="4"/>
    </row>
    <row r="4" spans="1:15" s="5" customFormat="1" ht="15" customHeight="1" thickBot="1">
      <c r="B4" s="3"/>
      <c r="C4" s="3"/>
      <c r="D4" s="387"/>
      <c r="E4" s="387"/>
      <c r="F4" s="387"/>
      <c r="G4" s="387"/>
      <c r="H4" s="387"/>
      <c r="I4" s="6"/>
      <c r="J4" s="7"/>
      <c r="O4" s="8"/>
    </row>
    <row r="5" spans="1:15" ht="27" customHeight="1" thickBot="1">
      <c r="B5" s="330" t="s">
        <v>0</v>
      </c>
      <c r="C5" s="84" t="s">
        <v>1</v>
      </c>
      <c r="D5" s="85"/>
      <c r="E5" s="86"/>
      <c r="F5" s="388" t="s">
        <v>2</v>
      </c>
      <c r="G5" s="389"/>
      <c r="H5" s="87" t="s">
        <v>3</v>
      </c>
      <c r="I5" s="88"/>
      <c r="J5" s="89"/>
    </row>
    <row r="6" spans="1:15" ht="17.25" customHeight="1">
      <c r="B6" s="331" t="s">
        <v>4</v>
      </c>
      <c r="C6" s="90" t="s">
        <v>5</v>
      </c>
      <c r="D6" s="91"/>
      <c r="E6" s="92"/>
      <c r="F6" s="93">
        <v>90</v>
      </c>
      <c r="G6" s="94" t="s">
        <v>6</v>
      </c>
      <c r="H6" s="95">
        <f>F6*6</f>
        <v>540</v>
      </c>
      <c r="I6" s="96"/>
      <c r="J6" s="97"/>
    </row>
    <row r="7" spans="1:15" ht="17.25" customHeight="1" thickBot="1">
      <c r="B7" s="9"/>
      <c r="C7" s="10"/>
      <c r="D7" s="11"/>
      <c r="E7" s="98"/>
      <c r="F7" s="99">
        <v>7</v>
      </c>
      <c r="G7" s="100" t="s">
        <v>7</v>
      </c>
      <c r="H7" s="101">
        <f>F7*6</f>
        <v>42</v>
      </c>
      <c r="I7" s="102"/>
      <c r="J7" s="103"/>
    </row>
    <row r="8" spans="1:15" ht="9.9499999999999993" customHeight="1" thickBot="1">
      <c r="B8" s="9"/>
      <c r="C8" s="10"/>
      <c r="D8" s="11"/>
      <c r="E8" s="11"/>
      <c r="F8" s="12"/>
      <c r="G8" s="12"/>
      <c r="H8" s="13"/>
      <c r="I8" s="14"/>
      <c r="J8" s="15"/>
    </row>
    <row r="9" spans="1:15" ht="24.95" customHeight="1" thickBot="1">
      <c r="B9" s="332" t="s">
        <v>8</v>
      </c>
      <c r="C9" s="104">
        <v>1</v>
      </c>
      <c r="D9" s="105"/>
      <c r="E9" s="106" t="s">
        <v>9</v>
      </c>
      <c r="F9" s="105"/>
      <c r="G9" s="105"/>
      <c r="H9" s="107"/>
      <c r="I9" s="107"/>
      <c r="J9" s="108">
        <f>J7+1</f>
        <v>1</v>
      </c>
    </row>
    <row r="10" spans="1:15" ht="27" customHeight="1" thickBot="1">
      <c r="B10" s="109" t="s">
        <v>10</v>
      </c>
      <c r="C10" s="109" t="s">
        <v>11</v>
      </c>
      <c r="D10" s="109" t="s">
        <v>12</v>
      </c>
      <c r="E10" s="109" t="s">
        <v>13</v>
      </c>
      <c r="F10" s="109" t="s">
        <v>14</v>
      </c>
      <c r="G10" s="110" t="s">
        <v>15</v>
      </c>
      <c r="H10" s="111" t="s">
        <v>16</v>
      </c>
      <c r="I10" s="111" t="s">
        <v>17</v>
      </c>
      <c r="J10" s="112" t="s">
        <v>18</v>
      </c>
    </row>
    <row r="11" spans="1:15" ht="12.95" customHeight="1">
      <c r="A11" s="16" t="s">
        <v>636</v>
      </c>
      <c r="B11" s="20" t="s">
        <v>19</v>
      </c>
      <c r="C11" s="113">
        <v>100000</v>
      </c>
      <c r="D11" s="114"/>
      <c r="E11" s="115" t="s">
        <v>637</v>
      </c>
      <c r="F11" s="22"/>
      <c r="G11" s="23"/>
      <c r="H11" s="25"/>
      <c r="I11" s="22"/>
      <c r="J11" s="24"/>
    </row>
    <row r="12" spans="1:15" s="18" customFormat="1" outlineLevel="1">
      <c r="A12" s="17" t="s">
        <v>636</v>
      </c>
      <c r="B12" s="83" t="s">
        <v>20</v>
      </c>
      <c r="C12" s="116" t="s">
        <v>21</v>
      </c>
      <c r="D12" s="117" t="s">
        <v>586</v>
      </c>
      <c r="E12" s="118" t="s">
        <v>659</v>
      </c>
      <c r="F12" s="36" t="s">
        <v>654</v>
      </c>
      <c r="G12" s="119">
        <v>6</v>
      </c>
      <c r="H12" s="23"/>
      <c r="I12" s="120">
        <f t="shared" ref="I12:I17" si="0">H12*$J$9</f>
        <v>0</v>
      </c>
      <c r="J12" s="120">
        <f>ROUND(G12*I12,2)</f>
        <v>0</v>
      </c>
    </row>
    <row r="13" spans="1:15" s="18" customFormat="1" ht="26.25" customHeight="1" outlineLevel="1">
      <c r="A13" s="17" t="s">
        <v>636</v>
      </c>
      <c r="B13" s="83" t="s">
        <v>22</v>
      </c>
      <c r="C13" s="121" t="s">
        <v>23</v>
      </c>
      <c r="D13" s="117" t="s">
        <v>586</v>
      </c>
      <c r="E13" s="118" t="s">
        <v>660</v>
      </c>
      <c r="F13" s="36" t="s">
        <v>654</v>
      </c>
      <c r="G13" s="119">
        <f>$F$6*5.4*3.9</f>
        <v>1895.4</v>
      </c>
      <c r="H13" s="23"/>
      <c r="I13" s="120">
        <f t="shared" si="0"/>
        <v>0</v>
      </c>
      <c r="J13" s="120">
        <f>ROUND(G13*I13,2)</f>
        <v>0</v>
      </c>
    </row>
    <row r="14" spans="1:15" ht="12.95" customHeight="1" outlineLevel="1">
      <c r="A14" s="17" t="s">
        <v>636</v>
      </c>
      <c r="B14" s="83" t="s">
        <v>24</v>
      </c>
      <c r="C14" s="121" t="s">
        <v>25</v>
      </c>
      <c r="D14" s="117" t="s">
        <v>586</v>
      </c>
      <c r="E14" s="118" t="s">
        <v>661</v>
      </c>
      <c r="F14" s="36" t="s">
        <v>654</v>
      </c>
      <c r="G14" s="119">
        <f>$F$6*5.4*3.9*1.2</f>
        <v>2274.48</v>
      </c>
      <c r="H14" s="23"/>
      <c r="I14" s="120">
        <f t="shared" si="0"/>
        <v>0</v>
      </c>
      <c r="J14" s="120">
        <f>ROUND(G14*I14,2)</f>
        <v>0</v>
      </c>
      <c r="K14" s="19"/>
    </row>
    <row r="15" spans="1:15" outlineLevel="1">
      <c r="A15" s="17" t="s">
        <v>636</v>
      </c>
      <c r="B15" s="83" t="s">
        <v>26</v>
      </c>
      <c r="C15" s="121" t="s">
        <v>27</v>
      </c>
      <c r="D15" s="117" t="s">
        <v>586</v>
      </c>
      <c r="E15" s="118" t="s">
        <v>662</v>
      </c>
      <c r="F15" s="36" t="s">
        <v>32</v>
      </c>
      <c r="G15" s="119">
        <f>$F$6*5.4*3.9*3</f>
        <v>5686.2000000000007</v>
      </c>
      <c r="H15" s="23"/>
      <c r="I15" s="120">
        <f t="shared" si="0"/>
        <v>0</v>
      </c>
      <c r="J15" s="120">
        <f t="shared" ref="J15:J19" si="1">ROUND(G15*I15,2)</f>
        <v>0</v>
      </c>
      <c r="K15" s="19"/>
    </row>
    <row r="16" spans="1:15" ht="12.95" customHeight="1" outlineLevel="1">
      <c r="A16" s="17" t="s">
        <v>636</v>
      </c>
      <c r="B16" s="83" t="s">
        <v>28</v>
      </c>
      <c r="C16" s="121" t="s">
        <v>29</v>
      </c>
      <c r="D16" s="117" t="s">
        <v>586</v>
      </c>
      <c r="E16" s="122" t="s">
        <v>663</v>
      </c>
      <c r="F16" s="36" t="s">
        <v>32</v>
      </c>
      <c r="G16" s="119">
        <f>$F$6*(3.48*2+4.48*2)*2.26*0.3*0.1</f>
        <v>97.143840000000012</v>
      </c>
      <c r="H16" s="23"/>
      <c r="I16" s="120">
        <f t="shared" si="0"/>
        <v>0</v>
      </c>
      <c r="J16" s="120">
        <f t="shared" si="1"/>
        <v>0</v>
      </c>
      <c r="K16" s="19"/>
    </row>
    <row r="17" spans="1:10" ht="12.95" customHeight="1" outlineLevel="1">
      <c r="A17" s="17" t="s">
        <v>636</v>
      </c>
      <c r="B17" s="354" t="s">
        <v>30</v>
      </c>
      <c r="C17" s="390" t="s">
        <v>31</v>
      </c>
      <c r="D17" s="363" t="s">
        <v>586</v>
      </c>
      <c r="E17" s="122" t="s">
        <v>664</v>
      </c>
      <c r="F17" s="365" t="s">
        <v>32</v>
      </c>
      <c r="G17" s="359">
        <f>$F$6*((3-2.26)*(5.4*3.9*0.9))</f>
        <v>1262.3364000000006</v>
      </c>
      <c r="H17" s="359"/>
      <c r="I17" s="344">
        <f t="shared" si="0"/>
        <v>0</v>
      </c>
      <c r="J17" s="344">
        <f t="shared" si="1"/>
        <v>0</v>
      </c>
    </row>
    <row r="18" spans="1:10" ht="12.95" customHeight="1" outlineLevel="1">
      <c r="A18" s="17"/>
      <c r="B18" s="355"/>
      <c r="C18" s="391"/>
      <c r="D18" s="364"/>
      <c r="E18" s="123" t="s">
        <v>33</v>
      </c>
      <c r="F18" s="366"/>
      <c r="G18" s="360"/>
      <c r="H18" s="360"/>
      <c r="I18" s="345"/>
      <c r="J18" s="345"/>
    </row>
    <row r="19" spans="1:10" ht="26.25" customHeight="1" outlineLevel="1">
      <c r="A19" s="17" t="s">
        <v>636</v>
      </c>
      <c r="B19" s="83" t="s">
        <v>34</v>
      </c>
      <c r="C19" s="121" t="s">
        <v>35</v>
      </c>
      <c r="D19" s="117" t="s">
        <v>586</v>
      </c>
      <c r="E19" s="123" t="s">
        <v>665</v>
      </c>
      <c r="F19" s="36" t="s">
        <v>32</v>
      </c>
      <c r="G19" s="119">
        <f>$F$6*((5.4*3.9*3)-(3-2.26)*(5.4*3.9)-(3.48*2+4.48*2)*2.26*0.3*0.1)*1.3</f>
        <v>5442.3982080000005</v>
      </c>
      <c r="H19" s="23"/>
      <c r="I19" s="120">
        <f>H19*$J$9</f>
        <v>0</v>
      </c>
      <c r="J19" s="120">
        <f t="shared" si="1"/>
        <v>0</v>
      </c>
    </row>
    <row r="20" spans="1:10" ht="12.95" customHeight="1" outlineLevel="1">
      <c r="B20" s="20" t="s">
        <v>36</v>
      </c>
      <c r="C20" s="21"/>
      <c r="D20" s="20"/>
      <c r="E20" s="22"/>
      <c r="F20" s="22"/>
      <c r="G20" s="23"/>
      <c r="H20" s="23"/>
      <c r="I20" s="22"/>
      <c r="J20" s="24">
        <f>SUM(J12:J19)</f>
        <v>0</v>
      </c>
    </row>
    <row r="21" spans="1:10" ht="12.95" customHeight="1">
      <c r="A21" s="16" t="s">
        <v>636</v>
      </c>
      <c r="B21" s="20" t="s">
        <v>37</v>
      </c>
      <c r="C21" s="124">
        <v>200000</v>
      </c>
      <c r="D21" s="114"/>
      <c r="E21" s="115" t="s">
        <v>638</v>
      </c>
      <c r="F21" s="22"/>
      <c r="G21" s="23"/>
      <c r="H21" s="25"/>
      <c r="I21" s="22"/>
      <c r="J21" s="24"/>
    </row>
    <row r="22" spans="1:10" ht="12.95" customHeight="1" outlineLevel="1">
      <c r="A22" s="17" t="s">
        <v>636</v>
      </c>
      <c r="B22" s="83" t="s">
        <v>38</v>
      </c>
      <c r="C22" s="121" t="s">
        <v>39</v>
      </c>
      <c r="D22" s="117" t="s">
        <v>586</v>
      </c>
      <c r="E22" s="123" t="s">
        <v>666</v>
      </c>
      <c r="F22" s="36" t="s">
        <v>32</v>
      </c>
      <c r="G22" s="119">
        <v>136.94399999999999</v>
      </c>
      <c r="H22" s="23"/>
      <c r="I22" s="120">
        <f t="shared" ref="I22:I27" si="2">H22*$J$9</f>
        <v>0</v>
      </c>
      <c r="J22" s="120">
        <f t="shared" ref="J22:J27" si="3">ROUND(G22*I22,2)</f>
        <v>0</v>
      </c>
    </row>
    <row r="23" spans="1:10" ht="12.95" customHeight="1" outlineLevel="1">
      <c r="A23" s="17" t="s">
        <v>636</v>
      </c>
      <c r="B23" s="83" t="s">
        <v>40</v>
      </c>
      <c r="C23" s="121" t="s">
        <v>41</v>
      </c>
      <c r="D23" s="117" t="s">
        <v>586</v>
      </c>
      <c r="E23" s="123" t="s">
        <v>667</v>
      </c>
      <c r="F23" s="36" t="s">
        <v>592</v>
      </c>
      <c r="G23" s="119">
        <v>2160</v>
      </c>
      <c r="H23" s="23"/>
      <c r="I23" s="120">
        <f t="shared" si="2"/>
        <v>0</v>
      </c>
      <c r="J23" s="120">
        <f t="shared" si="3"/>
        <v>0</v>
      </c>
    </row>
    <row r="24" spans="1:10" ht="12.95" customHeight="1" outlineLevel="1">
      <c r="A24" s="17" t="s">
        <v>636</v>
      </c>
      <c r="B24" s="83" t="s">
        <v>42</v>
      </c>
      <c r="C24" s="125" t="s">
        <v>43</v>
      </c>
      <c r="D24" s="117" t="s">
        <v>586</v>
      </c>
      <c r="E24" s="123" t="s">
        <v>668</v>
      </c>
      <c r="F24" s="36" t="s">
        <v>654</v>
      </c>
      <c r="G24" s="119">
        <v>2282.4</v>
      </c>
      <c r="H24" s="23"/>
      <c r="I24" s="120">
        <f t="shared" si="2"/>
        <v>0</v>
      </c>
      <c r="J24" s="120">
        <f t="shared" si="3"/>
        <v>0</v>
      </c>
    </row>
    <row r="25" spans="1:10" ht="12.95" customHeight="1" outlineLevel="1">
      <c r="A25" s="17" t="s">
        <v>636</v>
      </c>
      <c r="B25" s="83" t="s">
        <v>44</v>
      </c>
      <c r="C25" s="126" t="s">
        <v>45</v>
      </c>
      <c r="D25" s="117" t="s">
        <v>586</v>
      </c>
      <c r="E25" s="123" t="s">
        <v>669</v>
      </c>
      <c r="F25" s="36" t="s">
        <v>655</v>
      </c>
      <c r="G25" s="119">
        <v>6045.5419199999997</v>
      </c>
      <c r="H25" s="23"/>
      <c r="I25" s="120">
        <f t="shared" si="2"/>
        <v>0</v>
      </c>
      <c r="J25" s="120">
        <f t="shared" si="3"/>
        <v>0</v>
      </c>
    </row>
    <row r="26" spans="1:10" ht="12.95" customHeight="1" outlineLevel="1">
      <c r="A26" s="17" t="s">
        <v>636</v>
      </c>
      <c r="B26" s="83" t="s">
        <v>46</v>
      </c>
      <c r="C26" s="125" t="s">
        <v>47</v>
      </c>
      <c r="D26" s="117" t="s">
        <v>586</v>
      </c>
      <c r="E26" s="123" t="s">
        <v>670</v>
      </c>
      <c r="F26" s="36" t="s">
        <v>32</v>
      </c>
      <c r="G26" s="119">
        <v>125.53200000000001</v>
      </c>
      <c r="H26" s="23"/>
      <c r="I26" s="120">
        <f t="shared" si="2"/>
        <v>0</v>
      </c>
      <c r="J26" s="120">
        <f t="shared" si="3"/>
        <v>0</v>
      </c>
    </row>
    <row r="27" spans="1:10" ht="12.95" customHeight="1" outlineLevel="1">
      <c r="A27" s="17" t="s">
        <v>636</v>
      </c>
      <c r="B27" s="83" t="s">
        <v>48</v>
      </c>
      <c r="C27" s="125" t="s">
        <v>49</v>
      </c>
      <c r="D27" s="117" t="s">
        <v>586</v>
      </c>
      <c r="E27" s="123" t="s">
        <v>671</v>
      </c>
      <c r="F27" s="36" t="s">
        <v>32</v>
      </c>
      <c r="G27" s="119">
        <v>22.824000000000002</v>
      </c>
      <c r="H27" s="23"/>
      <c r="I27" s="120">
        <f t="shared" si="2"/>
        <v>0</v>
      </c>
      <c r="J27" s="120">
        <f t="shared" si="3"/>
        <v>0</v>
      </c>
    </row>
    <row r="28" spans="1:10" ht="12.75" customHeight="1" outlineLevel="1">
      <c r="B28" s="20" t="s">
        <v>50</v>
      </c>
      <c r="C28" s="20"/>
      <c r="D28" s="20"/>
      <c r="E28" s="22"/>
      <c r="F28" s="22"/>
      <c r="G28" s="23"/>
      <c r="H28" s="25"/>
      <c r="I28" s="22"/>
      <c r="J28" s="24">
        <f>SUM(J22:J27)</f>
        <v>0</v>
      </c>
    </row>
    <row r="29" spans="1:10" ht="12.95" customHeight="1">
      <c r="A29" s="16" t="s">
        <v>636</v>
      </c>
      <c r="B29" s="20" t="s">
        <v>51</v>
      </c>
      <c r="C29" s="113">
        <v>300000</v>
      </c>
      <c r="D29" s="114"/>
      <c r="E29" s="115" t="s">
        <v>639</v>
      </c>
      <c r="F29" s="22"/>
      <c r="G29" s="23"/>
      <c r="H29" s="25"/>
      <c r="I29" s="22"/>
      <c r="J29" s="24"/>
    </row>
    <row r="30" spans="1:10" ht="12.95" customHeight="1" outlineLevel="1">
      <c r="A30" s="17" t="s">
        <v>636</v>
      </c>
      <c r="B30" s="83" t="s">
        <v>52</v>
      </c>
      <c r="C30" s="127" t="s">
        <v>53</v>
      </c>
      <c r="D30" s="117" t="s">
        <v>586</v>
      </c>
      <c r="E30" s="123" t="s">
        <v>672</v>
      </c>
      <c r="F30" s="36" t="s">
        <v>654</v>
      </c>
      <c r="G30" s="119">
        <v>236.52</v>
      </c>
      <c r="H30" s="23"/>
      <c r="I30" s="120">
        <f>H30*$J$9</f>
        <v>0</v>
      </c>
      <c r="J30" s="120">
        <f>ROUND(G30*I30,2)</f>
        <v>0</v>
      </c>
    </row>
    <row r="31" spans="1:10" ht="12.95" customHeight="1" outlineLevel="1">
      <c r="A31" s="17" t="s">
        <v>636</v>
      </c>
      <c r="B31" s="83" t="s">
        <v>54</v>
      </c>
      <c r="C31" s="126" t="s">
        <v>45</v>
      </c>
      <c r="D31" s="117" t="s">
        <v>586</v>
      </c>
      <c r="E31" s="123" t="s">
        <v>669</v>
      </c>
      <c r="F31" s="36" t="s">
        <v>655</v>
      </c>
      <c r="G31" s="119">
        <v>1264.9562640000001</v>
      </c>
      <c r="H31" s="23"/>
      <c r="I31" s="120">
        <f>H31*$J$9</f>
        <v>0</v>
      </c>
      <c r="J31" s="120">
        <f>ROUND(G31*I31,2)</f>
        <v>0</v>
      </c>
    </row>
    <row r="32" spans="1:10" ht="12.95" customHeight="1" outlineLevel="1">
      <c r="A32" s="17" t="s">
        <v>636</v>
      </c>
      <c r="B32" s="83" t="s">
        <v>55</v>
      </c>
      <c r="C32" s="126" t="s">
        <v>47</v>
      </c>
      <c r="D32" s="117" t="s">
        <v>586</v>
      </c>
      <c r="E32" s="123" t="s">
        <v>670</v>
      </c>
      <c r="F32" s="36" t="s">
        <v>32</v>
      </c>
      <c r="G32" s="119">
        <v>8.6724000000000014</v>
      </c>
      <c r="H32" s="23"/>
      <c r="I32" s="120">
        <f>H32*$J$9</f>
        <v>0</v>
      </c>
      <c r="J32" s="120">
        <f>ROUND(G32*I32,2)</f>
        <v>0</v>
      </c>
    </row>
    <row r="33" spans="1:13" ht="12.95" customHeight="1" outlineLevel="1">
      <c r="B33" s="20" t="s">
        <v>36</v>
      </c>
      <c r="C33" s="20"/>
      <c r="D33" s="20"/>
      <c r="E33" s="22"/>
      <c r="F33" s="22"/>
      <c r="G33" s="23"/>
      <c r="H33" s="25"/>
      <c r="I33" s="22"/>
      <c r="J33" s="24">
        <f>SUM(J30:J32)</f>
        <v>0</v>
      </c>
    </row>
    <row r="34" spans="1:13" ht="12.95" customHeight="1">
      <c r="A34" s="16" t="s">
        <v>636</v>
      </c>
      <c r="B34" s="20" t="s">
        <v>56</v>
      </c>
      <c r="C34" s="128">
        <v>400000</v>
      </c>
      <c r="D34" s="114"/>
      <c r="E34" s="115" t="s">
        <v>640</v>
      </c>
      <c r="F34" s="22"/>
      <c r="G34" s="23"/>
      <c r="H34" s="25"/>
      <c r="I34" s="22"/>
      <c r="J34" s="24"/>
    </row>
    <row r="35" spans="1:13" ht="12.95" customHeight="1" outlineLevel="1">
      <c r="A35" s="17" t="s">
        <v>636</v>
      </c>
      <c r="B35" s="83" t="s">
        <v>57</v>
      </c>
      <c r="C35" s="126" t="s">
        <v>58</v>
      </c>
      <c r="D35" s="117" t="s">
        <v>586</v>
      </c>
      <c r="E35" s="123" t="s">
        <v>673</v>
      </c>
      <c r="F35" s="36" t="s">
        <v>654</v>
      </c>
      <c r="G35" s="119">
        <f>$F$6*(4.98+3.48)*2*2.26</f>
        <v>3441.5280000000002</v>
      </c>
      <c r="H35" s="23"/>
      <c r="I35" s="120">
        <f>H35*$J$9</f>
        <v>0</v>
      </c>
      <c r="J35" s="120">
        <f>ROUND(G35*I35,2)</f>
        <v>0</v>
      </c>
    </row>
    <row r="36" spans="1:13" ht="12.75" customHeight="1" outlineLevel="1">
      <c r="B36" s="20" t="s">
        <v>50</v>
      </c>
      <c r="C36" s="20"/>
      <c r="D36" s="20"/>
      <c r="E36" s="22"/>
      <c r="F36" s="22"/>
      <c r="G36" s="23"/>
      <c r="H36" s="25"/>
      <c r="I36" s="22"/>
      <c r="J36" s="24">
        <f>SUM(J35:J35)</f>
        <v>0</v>
      </c>
    </row>
    <row r="37" spans="1:13" ht="12.95" customHeight="1">
      <c r="A37" s="1" t="s">
        <v>59</v>
      </c>
      <c r="B37" s="20" t="s">
        <v>60</v>
      </c>
      <c r="C37" s="129" t="s">
        <v>61</v>
      </c>
      <c r="D37" s="114"/>
      <c r="E37" s="115" t="s">
        <v>674</v>
      </c>
      <c r="F37" s="22"/>
      <c r="G37" s="23"/>
      <c r="H37" s="25"/>
      <c r="I37" s="22"/>
      <c r="J37" s="24"/>
    </row>
    <row r="38" spans="1:13" ht="12.95" customHeight="1" outlineLevel="1">
      <c r="A38" s="17" t="s">
        <v>636</v>
      </c>
      <c r="B38" s="83" t="s">
        <v>62</v>
      </c>
      <c r="C38" s="126" t="s">
        <v>53</v>
      </c>
      <c r="D38" s="117" t="s">
        <v>586</v>
      </c>
      <c r="E38" s="123" t="s">
        <v>672</v>
      </c>
      <c r="F38" s="36" t="s">
        <v>654</v>
      </c>
      <c r="G38" s="119">
        <f>$F$6*(0.06*((0.96*2+0.45*2)*10+(16.56*3+4.7*6+1.01*9)/6))</f>
        <v>230.553</v>
      </c>
      <c r="H38" s="23"/>
      <c r="I38" s="120">
        <f>H38*$J$9</f>
        <v>0</v>
      </c>
      <c r="J38" s="120">
        <f>ROUND(G38*I38,2)</f>
        <v>0</v>
      </c>
    </row>
    <row r="39" spans="1:13" ht="12.95" customHeight="1" outlineLevel="1">
      <c r="A39" s="17" t="s">
        <v>636</v>
      </c>
      <c r="B39" s="83" t="s">
        <v>63</v>
      </c>
      <c r="C39" s="126" t="s">
        <v>45</v>
      </c>
      <c r="D39" s="117" t="s">
        <v>586</v>
      </c>
      <c r="E39" s="123" t="s">
        <v>669</v>
      </c>
      <c r="F39" s="36" t="s">
        <v>655</v>
      </c>
      <c r="G39" s="119">
        <f>$F$6*((16.56*3+4.7*6+1.01*9)*2+(((16.56*3+4.7*6+1.01*9)/0.3)*0.2)+(16.56*3+4.7*6+1.01*9)*2+((0.96*6+0.45*4)*90)+(0.43*2*90))*0.39</f>
        <v>40844.466000000008</v>
      </c>
      <c r="H39" s="23"/>
      <c r="I39" s="120">
        <f>H39*$J$9</f>
        <v>0</v>
      </c>
      <c r="J39" s="120">
        <f>ROUND(G39*I39,2)</f>
        <v>0</v>
      </c>
      <c r="M39" s="26"/>
    </row>
    <row r="40" spans="1:13" ht="12.95" customHeight="1" outlineLevel="1">
      <c r="A40" s="17" t="s">
        <v>636</v>
      </c>
      <c r="B40" s="83" t="s">
        <v>64</v>
      </c>
      <c r="C40" s="126" t="s">
        <v>47</v>
      </c>
      <c r="D40" s="117" t="s">
        <v>586</v>
      </c>
      <c r="E40" s="123" t="s">
        <v>670</v>
      </c>
      <c r="F40" s="36" t="s">
        <v>32</v>
      </c>
      <c r="G40" s="119">
        <f>$F$6*((0.0072*16.56*3+0.0072*4.7*6+0.0072*1.01*9)+(0.45*0.96*0.06*90))</f>
        <v>266.30855999999994</v>
      </c>
      <c r="H40" s="23"/>
      <c r="I40" s="120">
        <f>H40*$J$9</f>
        <v>0</v>
      </c>
      <c r="J40" s="120">
        <f>ROUND(G40*I40,2)</f>
        <v>0</v>
      </c>
      <c r="M40" s="26"/>
    </row>
    <row r="41" spans="1:13" ht="12.95" customHeight="1" outlineLevel="1">
      <c r="B41" s="20" t="s">
        <v>36</v>
      </c>
      <c r="C41" s="20"/>
      <c r="D41" s="20"/>
      <c r="E41" s="22"/>
      <c r="F41" s="22"/>
      <c r="G41" s="23"/>
      <c r="H41" s="25"/>
      <c r="I41" s="22"/>
      <c r="J41" s="24">
        <f>SUM(J38:J40)</f>
        <v>0</v>
      </c>
    </row>
    <row r="42" spans="1:13" ht="12.95" customHeight="1">
      <c r="A42" s="16" t="s">
        <v>636</v>
      </c>
      <c r="B42" s="20" t="s">
        <v>65</v>
      </c>
      <c r="C42" s="128">
        <v>1200000</v>
      </c>
      <c r="D42" s="114"/>
      <c r="E42" s="115" t="s">
        <v>641</v>
      </c>
      <c r="F42" s="22"/>
      <c r="G42" s="23"/>
      <c r="H42" s="25"/>
      <c r="I42" s="22"/>
      <c r="J42" s="24"/>
    </row>
    <row r="43" spans="1:13" ht="12.95" customHeight="1" outlineLevel="1">
      <c r="A43" s="17" t="s">
        <v>636</v>
      </c>
      <c r="B43" s="83" t="s">
        <v>66</v>
      </c>
      <c r="C43" s="126" t="s">
        <v>67</v>
      </c>
      <c r="D43" s="117" t="s">
        <v>586</v>
      </c>
      <c r="E43" s="123" t="s">
        <v>675</v>
      </c>
      <c r="F43" s="36" t="s">
        <v>654</v>
      </c>
      <c r="G43" s="119">
        <f>$F$6*(4.98+3.48)*2*2.26*2</f>
        <v>6883.0560000000005</v>
      </c>
      <c r="H43" s="23"/>
      <c r="I43" s="120">
        <f>H43*$J$9</f>
        <v>0</v>
      </c>
      <c r="J43" s="120">
        <f>ROUND(G43*I43,2)</f>
        <v>0</v>
      </c>
    </row>
    <row r="44" spans="1:13" ht="12.95" customHeight="1" outlineLevel="1">
      <c r="A44" s="17" t="s">
        <v>636</v>
      </c>
      <c r="B44" s="83" t="s">
        <v>68</v>
      </c>
      <c r="C44" s="126" t="s">
        <v>69</v>
      </c>
      <c r="D44" s="117" t="s">
        <v>586</v>
      </c>
      <c r="E44" s="123" t="s">
        <v>676</v>
      </c>
      <c r="F44" s="36" t="s">
        <v>654</v>
      </c>
      <c r="G44" s="119">
        <f>$F$6*(4.98+3.48)*2*2.26*2</f>
        <v>6883.0560000000005</v>
      </c>
      <c r="H44" s="23"/>
      <c r="I44" s="120">
        <f>H44*$J$9</f>
        <v>0</v>
      </c>
      <c r="J44" s="120">
        <f>ROUND(G44*I44,2)</f>
        <v>0</v>
      </c>
    </row>
    <row r="45" spans="1:13" ht="12.75" customHeight="1" outlineLevel="1">
      <c r="B45" s="20" t="s">
        <v>50</v>
      </c>
      <c r="C45" s="20"/>
      <c r="D45" s="20"/>
      <c r="E45" s="22"/>
      <c r="F45" s="22"/>
      <c r="G45" s="23"/>
      <c r="H45" s="25"/>
      <c r="I45" s="22"/>
      <c r="J45" s="24">
        <f>SUM(J43:J44)</f>
        <v>0</v>
      </c>
    </row>
    <row r="46" spans="1:13" ht="12.95" customHeight="1">
      <c r="A46" s="16" t="s">
        <v>636</v>
      </c>
      <c r="B46" s="20" t="s">
        <v>70</v>
      </c>
      <c r="C46" s="130">
        <v>1300000</v>
      </c>
      <c r="D46" s="114"/>
      <c r="E46" s="115" t="s">
        <v>642</v>
      </c>
      <c r="F46" s="22"/>
      <c r="G46" s="23"/>
      <c r="H46" s="25"/>
      <c r="I46" s="22"/>
      <c r="J46" s="24"/>
    </row>
    <row r="47" spans="1:13" ht="12.95" customHeight="1" outlineLevel="1">
      <c r="A47" s="17" t="s">
        <v>643</v>
      </c>
      <c r="B47" s="83" t="s">
        <v>71</v>
      </c>
      <c r="C47" s="27">
        <v>106001</v>
      </c>
      <c r="D47" s="117" t="s">
        <v>644</v>
      </c>
      <c r="E47" s="123" t="s">
        <v>677</v>
      </c>
      <c r="F47" s="36" t="s">
        <v>656</v>
      </c>
      <c r="G47" s="119">
        <f>$F$6*4.62*2.94</f>
        <v>1222.452</v>
      </c>
      <c r="H47" s="23"/>
      <c r="I47" s="120">
        <f>H47*$J$9</f>
        <v>0</v>
      </c>
      <c r="J47" s="120">
        <f>ROUND(G47*I47,2)</f>
        <v>0</v>
      </c>
    </row>
    <row r="48" spans="1:13" ht="12.95" customHeight="1" outlineLevel="1">
      <c r="A48" s="17" t="s">
        <v>636</v>
      </c>
      <c r="B48" s="83" t="s">
        <v>72</v>
      </c>
      <c r="C48" s="126" t="s">
        <v>49</v>
      </c>
      <c r="D48" s="117" t="s">
        <v>586</v>
      </c>
      <c r="E48" s="123" t="s">
        <v>671</v>
      </c>
      <c r="F48" s="36" t="s">
        <v>32</v>
      </c>
      <c r="G48" s="119">
        <f>$F$6*4.62*2.94*0.04</f>
        <v>48.89808</v>
      </c>
      <c r="H48" s="23"/>
      <c r="I48" s="120">
        <f>H48*$J$9</f>
        <v>0</v>
      </c>
      <c r="J48" s="120">
        <f>ROUND(G48*I48,2)</f>
        <v>0</v>
      </c>
    </row>
    <row r="49" spans="1:12" ht="12.95" customHeight="1" outlineLevel="1">
      <c r="A49" s="17" t="s">
        <v>636</v>
      </c>
      <c r="B49" s="83" t="s">
        <v>73</v>
      </c>
      <c r="C49" s="126" t="s">
        <v>74</v>
      </c>
      <c r="D49" s="117" t="s">
        <v>586</v>
      </c>
      <c r="E49" s="123" t="s">
        <v>678</v>
      </c>
      <c r="F49" s="36" t="s">
        <v>32</v>
      </c>
      <c r="G49" s="119">
        <f>$F$6*4.62*2.94*0.06</f>
        <v>73.347120000000004</v>
      </c>
      <c r="H49" s="23"/>
      <c r="I49" s="120">
        <f>H49*$J$9</f>
        <v>0</v>
      </c>
      <c r="J49" s="120">
        <f>ROUND(G49*I49,2)</f>
        <v>0</v>
      </c>
    </row>
    <row r="50" spans="1:12" ht="12.95" customHeight="1" outlineLevel="1">
      <c r="A50" s="17" t="s">
        <v>636</v>
      </c>
      <c r="B50" s="83" t="s">
        <v>75</v>
      </c>
      <c r="C50" s="131" t="s">
        <v>76</v>
      </c>
      <c r="D50" s="117" t="s">
        <v>586</v>
      </c>
      <c r="E50" s="123" t="s">
        <v>679</v>
      </c>
      <c r="F50" s="36" t="s">
        <v>32</v>
      </c>
      <c r="G50" s="119">
        <f>$F$6*4.62*2.94*0.06</f>
        <v>73.347120000000004</v>
      </c>
      <c r="H50" s="23"/>
      <c r="I50" s="120">
        <f>H50*$J$9</f>
        <v>0</v>
      </c>
      <c r="J50" s="120">
        <f>ROUND(G50*I50,2)</f>
        <v>0</v>
      </c>
    </row>
    <row r="51" spans="1:12" ht="12.95" customHeight="1" outlineLevel="1">
      <c r="B51" s="20" t="s">
        <v>36</v>
      </c>
      <c r="C51" s="28"/>
      <c r="D51" s="20"/>
      <c r="E51" s="22"/>
      <c r="F51" s="22"/>
      <c r="G51" s="23"/>
      <c r="H51" s="25"/>
      <c r="I51" s="22"/>
      <c r="J51" s="24">
        <f>SUM(J47:J50)</f>
        <v>0</v>
      </c>
    </row>
    <row r="52" spans="1:12" ht="12.95" customHeight="1">
      <c r="A52" s="16" t="s">
        <v>636</v>
      </c>
      <c r="B52" s="20" t="s">
        <v>77</v>
      </c>
      <c r="C52" s="132">
        <v>1600000</v>
      </c>
      <c r="D52" s="114"/>
      <c r="E52" s="115" t="s">
        <v>645</v>
      </c>
      <c r="F52" s="22"/>
      <c r="G52" s="23"/>
      <c r="H52" s="25"/>
      <c r="I52" s="22"/>
      <c r="J52" s="24"/>
    </row>
    <row r="53" spans="1:12" ht="12.95" customHeight="1" outlineLevel="1">
      <c r="A53" s="17" t="s">
        <v>636</v>
      </c>
      <c r="B53" s="83" t="s">
        <v>78</v>
      </c>
      <c r="C53" s="126" t="s">
        <v>79</v>
      </c>
      <c r="D53" s="117" t="s">
        <v>586</v>
      </c>
      <c r="E53" s="123" t="s">
        <v>680</v>
      </c>
      <c r="F53" s="36" t="s">
        <v>654</v>
      </c>
      <c r="G53" s="119">
        <f>$F$6*4.98*3.48</f>
        <v>1559.7360000000001</v>
      </c>
      <c r="H53" s="23"/>
      <c r="I53" s="120">
        <f>H53*$J$9</f>
        <v>0</v>
      </c>
      <c r="J53" s="120">
        <f>ROUND(G53*I53,2)</f>
        <v>0</v>
      </c>
    </row>
    <row r="54" spans="1:12" ht="12.95" customHeight="1" outlineLevel="1">
      <c r="A54" s="17" t="s">
        <v>636</v>
      </c>
      <c r="B54" s="354" t="s">
        <v>80</v>
      </c>
      <c r="C54" s="356" t="s">
        <v>81</v>
      </c>
      <c r="D54" s="357" t="s">
        <v>586</v>
      </c>
      <c r="E54" s="122" t="s">
        <v>681</v>
      </c>
      <c r="F54" s="354" t="s">
        <v>32</v>
      </c>
      <c r="G54" s="359">
        <f>($F$6*0.02*0.5*6*1.1)</f>
        <v>5.9400000000000013</v>
      </c>
      <c r="H54" s="359"/>
      <c r="I54" s="344">
        <f>H54*$J$9</f>
        <v>0</v>
      </c>
      <c r="J54" s="344">
        <f>ROUND(G54*I54,2)</f>
        <v>0</v>
      </c>
    </row>
    <row r="55" spans="1:12" ht="12.95" customHeight="1" outlineLevel="1">
      <c r="A55" s="17" t="s">
        <v>646</v>
      </c>
      <c r="B55" s="355"/>
      <c r="C55" s="356"/>
      <c r="D55" s="358"/>
      <c r="E55" s="123" t="s">
        <v>82</v>
      </c>
      <c r="F55" s="355"/>
      <c r="G55" s="360"/>
      <c r="H55" s="360"/>
      <c r="I55" s="345"/>
      <c r="J55" s="345"/>
    </row>
    <row r="56" spans="1:12" ht="12.95" customHeight="1" outlineLevel="1">
      <c r="A56" s="17" t="s">
        <v>636</v>
      </c>
      <c r="B56" s="354" t="s">
        <v>83</v>
      </c>
      <c r="C56" s="356" t="s">
        <v>76</v>
      </c>
      <c r="D56" s="357" t="s">
        <v>586</v>
      </c>
      <c r="E56" s="122" t="s">
        <v>679</v>
      </c>
      <c r="F56" s="354" t="s">
        <v>32</v>
      </c>
      <c r="G56" s="359">
        <f>($F$6*6*1.5*(0.4*0.4*0.06))</f>
        <v>7.7760000000000007</v>
      </c>
      <c r="H56" s="359"/>
      <c r="I56" s="344">
        <f>H56*$J$9</f>
        <v>0</v>
      </c>
      <c r="J56" s="344">
        <f>ROUND(G56*I56,2)</f>
        <v>0</v>
      </c>
    </row>
    <row r="57" spans="1:12" ht="12.95" customHeight="1" outlineLevel="1">
      <c r="A57" s="17" t="s">
        <v>646</v>
      </c>
      <c r="B57" s="355"/>
      <c r="C57" s="356"/>
      <c r="D57" s="358"/>
      <c r="E57" s="123" t="s">
        <v>84</v>
      </c>
      <c r="F57" s="355"/>
      <c r="G57" s="360"/>
      <c r="H57" s="360"/>
      <c r="I57" s="345"/>
      <c r="J57" s="345"/>
    </row>
    <row r="58" spans="1:12" ht="12.75" customHeight="1" outlineLevel="1">
      <c r="B58" s="20" t="s">
        <v>50</v>
      </c>
      <c r="C58" s="20"/>
      <c r="D58" s="20"/>
      <c r="E58" s="29"/>
      <c r="F58" s="22"/>
      <c r="G58" s="23"/>
      <c r="H58" s="25"/>
      <c r="I58" s="22"/>
      <c r="J58" s="24">
        <f>SUM(J53:J57)</f>
        <v>0</v>
      </c>
      <c r="L58" s="30"/>
    </row>
    <row r="59" spans="1:12" ht="12.95" customHeight="1">
      <c r="A59" s="16" t="s">
        <v>636</v>
      </c>
      <c r="B59" s="20" t="s">
        <v>85</v>
      </c>
      <c r="C59" s="132">
        <v>1100000</v>
      </c>
      <c r="D59" s="114"/>
      <c r="E59" s="115" t="s">
        <v>647</v>
      </c>
      <c r="F59" s="22"/>
      <c r="G59" s="23"/>
      <c r="H59" s="25"/>
      <c r="I59" s="22"/>
      <c r="J59" s="24"/>
    </row>
    <row r="60" spans="1:12" ht="12.95" customHeight="1" outlineLevel="1">
      <c r="A60" s="17" t="s">
        <v>636</v>
      </c>
      <c r="B60" s="83" t="s">
        <v>86</v>
      </c>
      <c r="C60" s="126" t="s">
        <v>87</v>
      </c>
      <c r="D60" s="117" t="s">
        <v>586</v>
      </c>
      <c r="E60" s="123" t="s">
        <v>657</v>
      </c>
      <c r="F60" s="36" t="s">
        <v>32</v>
      </c>
      <c r="G60" s="119">
        <f>G61*0.02</f>
        <v>10.410399999999999</v>
      </c>
      <c r="H60" s="23"/>
      <c r="I60" s="120">
        <f>H60*$J$9</f>
        <v>0</v>
      </c>
      <c r="J60" s="120">
        <f>ROUND(G60*I60,2)</f>
        <v>0</v>
      </c>
    </row>
    <row r="61" spans="1:12" outlineLevel="1">
      <c r="A61" s="17" t="s">
        <v>636</v>
      </c>
      <c r="B61" s="83" t="s">
        <v>88</v>
      </c>
      <c r="C61" s="133" t="s">
        <v>89</v>
      </c>
      <c r="D61" s="117" t="s">
        <v>586</v>
      </c>
      <c r="E61" s="123" t="s">
        <v>658</v>
      </c>
      <c r="F61" s="36" t="s">
        <v>654</v>
      </c>
      <c r="G61" s="119">
        <f>169*2.8*1.1</f>
        <v>520.52</v>
      </c>
      <c r="H61" s="23"/>
      <c r="I61" s="120">
        <f>H61*$J$9</f>
        <v>0</v>
      </c>
      <c r="J61" s="120">
        <f>ROUND(G61*I61,2)</f>
        <v>0</v>
      </c>
    </row>
    <row r="62" spans="1:12" ht="12.75" customHeight="1" outlineLevel="1" thickBot="1">
      <c r="B62" s="20" t="s">
        <v>50</v>
      </c>
      <c r="C62" s="28"/>
      <c r="D62" s="20"/>
      <c r="E62" s="22"/>
      <c r="F62" s="22"/>
      <c r="G62" s="23"/>
      <c r="H62" s="25"/>
      <c r="I62" s="22"/>
      <c r="J62" s="24">
        <f>SUM(J60:J61)</f>
        <v>0</v>
      </c>
    </row>
    <row r="63" spans="1:12" ht="18" customHeight="1" thickBot="1">
      <c r="B63" s="346" t="s">
        <v>90</v>
      </c>
      <c r="C63" s="382"/>
      <c r="D63" s="382"/>
      <c r="E63" s="382"/>
      <c r="F63" s="382"/>
      <c r="G63" s="382"/>
      <c r="H63" s="383"/>
      <c r="I63" s="349">
        <f>J58+J51+J45+J41+J36+J33+J28+J20+J62</f>
        <v>0</v>
      </c>
      <c r="J63" s="350"/>
    </row>
    <row r="64" spans="1:12" ht="9.9499999999999993" customHeight="1" thickBot="1">
      <c r="B64" s="31"/>
      <c r="C64" s="32"/>
      <c r="D64" s="32"/>
      <c r="E64" s="32"/>
      <c r="F64" s="32"/>
      <c r="G64" s="32"/>
      <c r="H64" s="32"/>
      <c r="I64" s="33"/>
      <c r="J64" s="33"/>
    </row>
    <row r="65" spans="1:11" ht="24.95" customHeight="1" thickBot="1">
      <c r="B65" s="332" t="str">
        <f>B9</f>
        <v>Planilha</v>
      </c>
      <c r="C65" s="104">
        <v>2</v>
      </c>
      <c r="D65" s="105"/>
      <c r="E65" s="106" t="s">
        <v>91</v>
      </c>
      <c r="F65" s="105"/>
      <c r="G65" s="105"/>
      <c r="H65" s="134" t="s">
        <v>92</v>
      </c>
      <c r="I65" s="135">
        <v>0.3</v>
      </c>
      <c r="J65" s="136">
        <f>1+I65</f>
        <v>1.3</v>
      </c>
    </row>
    <row r="66" spans="1:11" ht="27" customHeight="1" thickBot="1">
      <c r="B66" s="109" t="s">
        <v>10</v>
      </c>
      <c r="C66" s="109" t="s">
        <v>11</v>
      </c>
      <c r="D66" s="109" t="s">
        <v>12</v>
      </c>
      <c r="E66" s="109" t="s">
        <v>13</v>
      </c>
      <c r="F66" s="109" t="s">
        <v>14</v>
      </c>
      <c r="G66" s="110" t="s">
        <v>15</v>
      </c>
      <c r="H66" s="111" t="s">
        <v>16</v>
      </c>
      <c r="I66" s="111" t="s">
        <v>17</v>
      </c>
      <c r="J66" s="112" t="s">
        <v>18</v>
      </c>
    </row>
    <row r="67" spans="1:11" ht="12.95" customHeight="1">
      <c r="A67" s="16" t="s">
        <v>636</v>
      </c>
      <c r="B67" s="20" t="s">
        <v>93</v>
      </c>
      <c r="C67" s="130">
        <v>100000</v>
      </c>
      <c r="D67" s="114"/>
      <c r="E67" s="115" t="s">
        <v>637</v>
      </c>
      <c r="F67" s="22"/>
      <c r="G67" s="23"/>
      <c r="H67" s="25"/>
      <c r="I67" s="22"/>
      <c r="J67" s="24"/>
    </row>
    <row r="68" spans="1:11" s="18" customFormat="1" ht="25.5" customHeight="1" outlineLevel="1">
      <c r="A68" s="17" t="s">
        <v>636</v>
      </c>
      <c r="B68" s="83" t="s">
        <v>94</v>
      </c>
      <c r="C68" s="126" t="s">
        <v>23</v>
      </c>
      <c r="D68" s="117" t="s">
        <v>586</v>
      </c>
      <c r="E68" s="123" t="s">
        <v>660</v>
      </c>
      <c r="F68" s="36" t="s">
        <v>654</v>
      </c>
      <c r="G68" s="119">
        <f>$J$65*$F$7*5.4*3.9</f>
        <v>191.64599999999999</v>
      </c>
      <c r="H68" s="23"/>
      <c r="I68" s="120">
        <f>H68*$J$9</f>
        <v>0</v>
      </c>
      <c r="J68" s="120">
        <f>ROUND(G68*I68,2)</f>
        <v>0</v>
      </c>
      <c r="K68" s="19"/>
    </row>
    <row r="69" spans="1:11" ht="12.95" customHeight="1" outlineLevel="1">
      <c r="A69" s="17" t="s">
        <v>636</v>
      </c>
      <c r="B69" s="83" t="s">
        <v>95</v>
      </c>
      <c r="C69" s="126" t="s">
        <v>25</v>
      </c>
      <c r="D69" s="117" t="s">
        <v>586</v>
      </c>
      <c r="E69" s="123" t="s">
        <v>661</v>
      </c>
      <c r="F69" s="36" t="s">
        <v>654</v>
      </c>
      <c r="G69" s="119">
        <f>$J$65*$F$7*5.4*3.9*1.2</f>
        <v>229.97519999999997</v>
      </c>
      <c r="H69" s="23"/>
      <c r="I69" s="120">
        <f>H69*$J$9</f>
        <v>0</v>
      </c>
      <c r="J69" s="120">
        <f t="shared" ref="J69:J74" si="4">ROUND(G69*I69,2)</f>
        <v>0</v>
      </c>
      <c r="K69" s="19"/>
    </row>
    <row r="70" spans="1:11" outlineLevel="1">
      <c r="A70" s="17" t="s">
        <v>636</v>
      </c>
      <c r="B70" s="83" t="s">
        <v>96</v>
      </c>
      <c r="C70" s="126" t="s">
        <v>27</v>
      </c>
      <c r="D70" s="117" t="s">
        <v>586</v>
      </c>
      <c r="E70" s="123" t="s">
        <v>662</v>
      </c>
      <c r="F70" s="36" t="s">
        <v>32</v>
      </c>
      <c r="G70" s="119">
        <f>$J$65*$F$7*5.4*3.9*3</f>
        <v>574.93799999999999</v>
      </c>
      <c r="H70" s="23"/>
      <c r="I70" s="120">
        <f>H70*$J$9</f>
        <v>0</v>
      </c>
      <c r="J70" s="120">
        <f t="shared" si="4"/>
        <v>0</v>
      </c>
      <c r="K70" s="19"/>
    </row>
    <row r="71" spans="1:11" ht="12.95" customHeight="1" outlineLevel="1">
      <c r="A71" s="17" t="s">
        <v>636</v>
      </c>
      <c r="B71" s="83" t="s">
        <v>97</v>
      </c>
      <c r="C71" s="126" t="s">
        <v>29</v>
      </c>
      <c r="D71" s="117" t="s">
        <v>586</v>
      </c>
      <c r="E71" s="123" t="s">
        <v>663</v>
      </c>
      <c r="F71" s="36" t="s">
        <v>32</v>
      </c>
      <c r="G71" s="119">
        <f>$J$65*$F$7*(3.48*2+4.48*2)*2.26*0.3*0.1</f>
        <v>9.8223216000000022</v>
      </c>
      <c r="H71" s="23"/>
      <c r="I71" s="120">
        <f>H71*$J$9</f>
        <v>0</v>
      </c>
      <c r="J71" s="120">
        <f t="shared" si="4"/>
        <v>0</v>
      </c>
      <c r="K71" s="19"/>
    </row>
    <row r="72" spans="1:11" ht="12.95" customHeight="1" outlineLevel="1">
      <c r="A72" s="17" t="s">
        <v>636</v>
      </c>
      <c r="B72" s="354" t="s">
        <v>98</v>
      </c>
      <c r="C72" s="361" t="s">
        <v>31</v>
      </c>
      <c r="D72" s="363" t="s">
        <v>586</v>
      </c>
      <c r="E72" s="122" t="s">
        <v>664</v>
      </c>
      <c r="F72" s="354" t="s">
        <v>32</v>
      </c>
      <c r="G72" s="359">
        <f>$J$65*$F$7*((3-2.26)*(5.4*3.9*0.9))</f>
        <v>127.63623600000005</v>
      </c>
      <c r="H72" s="359"/>
      <c r="I72" s="344">
        <f>H72*$J$9</f>
        <v>0</v>
      </c>
      <c r="J72" s="344">
        <f t="shared" si="4"/>
        <v>0</v>
      </c>
    </row>
    <row r="73" spans="1:11" ht="12.95" customHeight="1" outlineLevel="1">
      <c r="A73" s="17"/>
      <c r="B73" s="355"/>
      <c r="C73" s="375"/>
      <c r="D73" s="364"/>
      <c r="E73" s="123" t="s">
        <v>33</v>
      </c>
      <c r="F73" s="355"/>
      <c r="G73" s="360"/>
      <c r="H73" s="360"/>
      <c r="I73" s="345"/>
      <c r="J73" s="345"/>
    </row>
    <row r="74" spans="1:11" ht="26.25" customHeight="1" outlineLevel="1">
      <c r="A74" s="17" t="s">
        <v>636</v>
      </c>
      <c r="B74" s="83" t="s">
        <v>99</v>
      </c>
      <c r="C74" s="121" t="s">
        <v>35</v>
      </c>
      <c r="D74" s="117" t="s">
        <v>586</v>
      </c>
      <c r="E74" s="123" t="s">
        <v>665</v>
      </c>
      <c r="F74" s="36" t="s">
        <v>32</v>
      </c>
      <c r="G74" s="119">
        <f>$J$65*$F$7*((5.4*3.9*3)-(3-2.26)*(5.4*3.9)-(3.48*2+4.48*2)*2.26*0.3*0.1)*1.3</f>
        <v>550.28692992000003</v>
      </c>
      <c r="H74" s="23"/>
      <c r="I74" s="120">
        <f>H74*$J$9</f>
        <v>0</v>
      </c>
      <c r="J74" s="120">
        <f t="shared" si="4"/>
        <v>0</v>
      </c>
    </row>
    <row r="75" spans="1:11" ht="12.95" customHeight="1" outlineLevel="1">
      <c r="B75" s="20" t="s">
        <v>36</v>
      </c>
      <c r="C75" s="28"/>
      <c r="D75" s="20"/>
      <c r="E75" s="22"/>
      <c r="F75" s="22"/>
      <c r="G75" s="23"/>
      <c r="H75" s="23"/>
      <c r="I75" s="22"/>
      <c r="J75" s="24">
        <f>SUM(J68:J74)</f>
        <v>0</v>
      </c>
    </row>
    <row r="76" spans="1:11" ht="12.95" customHeight="1">
      <c r="A76" s="16" t="s">
        <v>636</v>
      </c>
      <c r="B76" s="20" t="s">
        <v>100</v>
      </c>
      <c r="C76" s="132">
        <v>200000</v>
      </c>
      <c r="D76" s="114"/>
      <c r="E76" s="115" t="s">
        <v>638</v>
      </c>
      <c r="F76" s="22"/>
      <c r="G76" s="23"/>
      <c r="H76" s="25"/>
      <c r="I76" s="22"/>
      <c r="J76" s="24"/>
    </row>
    <row r="77" spans="1:11" outlineLevel="1">
      <c r="A77" s="17" t="s">
        <v>636</v>
      </c>
      <c r="B77" s="83" t="s">
        <v>101</v>
      </c>
      <c r="C77" s="126" t="s">
        <v>39</v>
      </c>
      <c r="D77" s="117" t="s">
        <v>586</v>
      </c>
      <c r="E77" s="123" t="s">
        <v>666</v>
      </c>
      <c r="F77" s="36" t="s">
        <v>32</v>
      </c>
      <c r="G77" s="119">
        <v>13.84656</v>
      </c>
      <c r="H77" s="23"/>
      <c r="I77" s="120">
        <f t="shared" ref="I77:I82" si="5">H77*$J$9</f>
        <v>0</v>
      </c>
      <c r="J77" s="120">
        <f t="shared" ref="J77:J82" si="6">ROUND(G77*I77,2)</f>
        <v>0</v>
      </c>
    </row>
    <row r="78" spans="1:11" ht="12.95" customHeight="1" outlineLevel="1">
      <c r="A78" s="17" t="s">
        <v>636</v>
      </c>
      <c r="B78" s="83" t="s">
        <v>102</v>
      </c>
      <c r="C78" s="126" t="s">
        <v>41</v>
      </c>
      <c r="D78" s="117" t="s">
        <v>586</v>
      </c>
      <c r="E78" s="123" t="s">
        <v>667</v>
      </c>
      <c r="F78" s="36" t="s">
        <v>592</v>
      </c>
      <c r="G78" s="119">
        <v>218.39999999999998</v>
      </c>
      <c r="H78" s="23"/>
      <c r="I78" s="120">
        <f t="shared" si="5"/>
        <v>0</v>
      </c>
      <c r="J78" s="120">
        <f t="shared" si="6"/>
        <v>0</v>
      </c>
    </row>
    <row r="79" spans="1:11" ht="12.95" customHeight="1" outlineLevel="1">
      <c r="A79" s="17" t="s">
        <v>636</v>
      </c>
      <c r="B79" s="83" t="s">
        <v>103</v>
      </c>
      <c r="C79" s="126" t="s">
        <v>43</v>
      </c>
      <c r="D79" s="117" t="s">
        <v>586</v>
      </c>
      <c r="E79" s="123" t="s">
        <v>668</v>
      </c>
      <c r="F79" s="36" t="s">
        <v>654</v>
      </c>
      <c r="G79" s="119">
        <v>230.77599999999998</v>
      </c>
      <c r="H79" s="23"/>
      <c r="I79" s="120">
        <f t="shared" si="5"/>
        <v>0</v>
      </c>
      <c r="J79" s="120">
        <f t="shared" si="6"/>
        <v>0</v>
      </c>
    </row>
    <row r="80" spans="1:11" ht="12.95" customHeight="1" outlineLevel="1">
      <c r="A80" s="17" t="s">
        <v>636</v>
      </c>
      <c r="B80" s="83" t="s">
        <v>104</v>
      </c>
      <c r="C80" s="126" t="s">
        <v>45</v>
      </c>
      <c r="D80" s="117" t="s">
        <v>586</v>
      </c>
      <c r="E80" s="123" t="s">
        <v>669</v>
      </c>
      <c r="F80" s="36" t="s">
        <v>655</v>
      </c>
      <c r="G80" s="119">
        <v>611.2714608</v>
      </c>
      <c r="H80" s="23"/>
      <c r="I80" s="120">
        <f t="shared" si="5"/>
        <v>0</v>
      </c>
      <c r="J80" s="120">
        <f t="shared" si="6"/>
        <v>0</v>
      </c>
    </row>
    <row r="81" spans="1:13" ht="12.95" customHeight="1" outlineLevel="1">
      <c r="A81" s="17" t="s">
        <v>636</v>
      </c>
      <c r="B81" s="83" t="s">
        <v>105</v>
      </c>
      <c r="C81" s="126" t="s">
        <v>47</v>
      </c>
      <c r="D81" s="117" t="s">
        <v>586</v>
      </c>
      <c r="E81" s="123" t="s">
        <v>670</v>
      </c>
      <c r="F81" s="36" t="s">
        <v>32</v>
      </c>
      <c r="G81" s="119">
        <v>12.692680000000001</v>
      </c>
      <c r="H81" s="23"/>
      <c r="I81" s="120">
        <f t="shared" si="5"/>
        <v>0</v>
      </c>
      <c r="J81" s="120">
        <f t="shared" si="6"/>
        <v>0</v>
      </c>
    </row>
    <row r="82" spans="1:13" ht="12.95" customHeight="1" outlineLevel="1">
      <c r="A82" s="17" t="s">
        <v>636</v>
      </c>
      <c r="B82" s="83" t="s">
        <v>106</v>
      </c>
      <c r="C82" s="126" t="s">
        <v>49</v>
      </c>
      <c r="D82" s="117" t="s">
        <v>586</v>
      </c>
      <c r="E82" s="123" t="s">
        <v>671</v>
      </c>
      <c r="F82" s="36" t="s">
        <v>32</v>
      </c>
      <c r="G82" s="119">
        <v>2.30776</v>
      </c>
      <c r="H82" s="23"/>
      <c r="I82" s="120">
        <f t="shared" si="5"/>
        <v>0</v>
      </c>
      <c r="J82" s="120">
        <f t="shared" si="6"/>
        <v>0</v>
      </c>
    </row>
    <row r="83" spans="1:13" ht="12.75" customHeight="1" outlineLevel="1">
      <c r="B83" s="20" t="s">
        <v>50</v>
      </c>
      <c r="C83" s="28"/>
      <c r="D83" s="20"/>
      <c r="E83" s="22"/>
      <c r="F83" s="22"/>
      <c r="G83" s="23"/>
      <c r="H83" s="25"/>
      <c r="I83" s="22"/>
      <c r="J83" s="24">
        <f>SUM(J77:J82)</f>
        <v>0</v>
      </c>
    </row>
    <row r="84" spans="1:13" ht="12.95" customHeight="1">
      <c r="A84" s="16" t="s">
        <v>636</v>
      </c>
      <c r="B84" s="20" t="s">
        <v>107</v>
      </c>
      <c r="C84" s="130">
        <v>300000</v>
      </c>
      <c r="D84" s="114"/>
      <c r="E84" s="115" t="s">
        <v>639</v>
      </c>
      <c r="F84" s="22"/>
      <c r="G84" s="23"/>
      <c r="H84" s="25"/>
      <c r="I84" s="22"/>
      <c r="J84" s="24"/>
    </row>
    <row r="85" spans="1:13" ht="12.95" customHeight="1" outlineLevel="1">
      <c r="A85" s="17" t="s">
        <v>636</v>
      </c>
      <c r="B85" s="83" t="s">
        <v>108</v>
      </c>
      <c r="C85" s="126" t="s">
        <v>53</v>
      </c>
      <c r="D85" s="117" t="s">
        <v>586</v>
      </c>
      <c r="E85" s="123" t="s">
        <v>672</v>
      </c>
      <c r="F85" s="36" t="s">
        <v>654</v>
      </c>
      <c r="G85" s="119">
        <v>23.9148</v>
      </c>
      <c r="H85" s="23"/>
      <c r="I85" s="120">
        <f>H85*$J$9</f>
        <v>0</v>
      </c>
      <c r="J85" s="120">
        <f>ROUND(G85*I85,2)</f>
        <v>0</v>
      </c>
    </row>
    <row r="86" spans="1:13" ht="12.95" customHeight="1" outlineLevel="1">
      <c r="A86" s="17" t="s">
        <v>636</v>
      </c>
      <c r="B86" s="83" t="s">
        <v>109</v>
      </c>
      <c r="C86" s="126" t="s">
        <v>45</v>
      </c>
      <c r="D86" s="117" t="s">
        <v>586</v>
      </c>
      <c r="E86" s="123" t="s">
        <v>669</v>
      </c>
      <c r="F86" s="36" t="s">
        <v>655</v>
      </c>
      <c r="G86" s="119">
        <v>127.90113336</v>
      </c>
      <c r="H86" s="23"/>
      <c r="I86" s="120">
        <f>H86*$J$9</f>
        <v>0</v>
      </c>
      <c r="J86" s="120">
        <f>ROUND(G86*I86,2)</f>
        <v>0</v>
      </c>
    </row>
    <row r="87" spans="1:13" ht="12.95" customHeight="1" outlineLevel="1">
      <c r="A87" s="17" t="s">
        <v>636</v>
      </c>
      <c r="B87" s="83" t="s">
        <v>110</v>
      </c>
      <c r="C87" s="126" t="s">
        <v>47</v>
      </c>
      <c r="D87" s="117" t="s">
        <v>586</v>
      </c>
      <c r="E87" s="123" t="s">
        <v>670</v>
      </c>
      <c r="F87" s="36" t="s">
        <v>32</v>
      </c>
      <c r="G87" s="119">
        <v>0.87687600000000021</v>
      </c>
      <c r="H87" s="23"/>
      <c r="I87" s="120">
        <f>H87*$J$9</f>
        <v>0</v>
      </c>
      <c r="J87" s="120">
        <f>ROUND(G87*I87,2)</f>
        <v>0</v>
      </c>
    </row>
    <row r="88" spans="1:13" ht="12.95" customHeight="1" outlineLevel="1">
      <c r="B88" s="20" t="s">
        <v>36</v>
      </c>
      <c r="C88" s="28"/>
      <c r="D88" s="20"/>
      <c r="E88" s="22"/>
      <c r="F88" s="22"/>
      <c r="G88" s="23"/>
      <c r="H88" s="25"/>
      <c r="I88" s="22"/>
      <c r="J88" s="24">
        <f>SUM(J85:J87)</f>
        <v>0</v>
      </c>
    </row>
    <row r="89" spans="1:13" ht="12.95" customHeight="1">
      <c r="A89" s="16" t="s">
        <v>636</v>
      </c>
      <c r="B89" s="20" t="s">
        <v>111</v>
      </c>
      <c r="C89" s="132">
        <v>400000</v>
      </c>
      <c r="D89" s="114"/>
      <c r="E89" s="115" t="s">
        <v>640</v>
      </c>
      <c r="F89" s="22"/>
      <c r="G89" s="23"/>
      <c r="H89" s="25"/>
      <c r="I89" s="22"/>
      <c r="J89" s="24"/>
    </row>
    <row r="90" spans="1:13" ht="12.95" customHeight="1" outlineLevel="1">
      <c r="A90" s="17" t="s">
        <v>636</v>
      </c>
      <c r="B90" s="83" t="s">
        <v>112</v>
      </c>
      <c r="C90" s="126" t="s">
        <v>58</v>
      </c>
      <c r="D90" s="117" t="s">
        <v>586</v>
      </c>
      <c r="E90" s="123" t="s">
        <v>673</v>
      </c>
      <c r="F90" s="36" t="s">
        <v>654</v>
      </c>
      <c r="G90" s="119">
        <f>$J$65*$F$7*(4.98+3.48)*2*2.26</f>
        <v>347.97672</v>
      </c>
      <c r="H90" s="23"/>
      <c r="I90" s="120">
        <f>H90*$J$9</f>
        <v>0</v>
      </c>
      <c r="J90" s="120">
        <f>ROUND(G90*I90,2)</f>
        <v>0</v>
      </c>
    </row>
    <row r="91" spans="1:13" ht="12.75" customHeight="1" outlineLevel="1">
      <c r="B91" s="20" t="s">
        <v>50</v>
      </c>
      <c r="C91" s="28"/>
      <c r="D91" s="20"/>
      <c r="E91" s="22"/>
      <c r="F91" s="22"/>
      <c r="G91" s="23"/>
      <c r="H91" s="25"/>
      <c r="I91" s="22"/>
      <c r="J91" s="24">
        <f>SUM(J90:J90)</f>
        <v>0</v>
      </c>
    </row>
    <row r="92" spans="1:13" ht="12.95" customHeight="1">
      <c r="A92" s="1" t="s">
        <v>59</v>
      </c>
      <c r="B92" s="20" t="s">
        <v>113</v>
      </c>
      <c r="C92" s="130" t="s">
        <v>61</v>
      </c>
      <c r="D92" s="114"/>
      <c r="E92" s="115" t="s">
        <v>674</v>
      </c>
      <c r="F92" s="22"/>
      <c r="G92" s="23"/>
      <c r="H92" s="25"/>
      <c r="I92" s="22"/>
      <c r="J92" s="24"/>
    </row>
    <row r="93" spans="1:13" ht="12.95" customHeight="1" outlineLevel="1">
      <c r="A93" s="17" t="s">
        <v>636</v>
      </c>
      <c r="B93" s="83" t="s">
        <v>114</v>
      </c>
      <c r="C93" s="126" t="s">
        <v>53</v>
      </c>
      <c r="D93" s="117" t="s">
        <v>586</v>
      </c>
      <c r="E93" s="123" t="s">
        <v>672</v>
      </c>
      <c r="F93" s="36" t="s">
        <v>654</v>
      </c>
      <c r="G93" s="119">
        <f>$J$65*$F$7*(0.06*((0.96*2+0.45*2)*10+(16.56*3+4.7*6+1.01*9)/6))</f>
        <v>23.31147</v>
      </c>
      <c r="H93" s="23"/>
      <c r="I93" s="120">
        <f>H93*$J$9</f>
        <v>0</v>
      </c>
      <c r="J93" s="120">
        <f>ROUND(G93*I93,2)</f>
        <v>0</v>
      </c>
    </row>
    <row r="94" spans="1:13" ht="12.95" customHeight="1" outlineLevel="1">
      <c r="A94" s="17" t="s">
        <v>636</v>
      </c>
      <c r="B94" s="83" t="s">
        <v>115</v>
      </c>
      <c r="C94" s="126" t="s">
        <v>45</v>
      </c>
      <c r="D94" s="117" t="s">
        <v>586</v>
      </c>
      <c r="E94" s="123" t="s">
        <v>669</v>
      </c>
      <c r="F94" s="36" t="s">
        <v>655</v>
      </c>
      <c r="G94" s="119">
        <f>$J$65*$F$7*((16.56*3+4.7*6+1.01*9)*2+(((16.56*3+4.7*6+1.01*9)/0.3)*0.2)+(16.56*3+4.7*6+1.01*9)*2+((0.96*6+0.45*4)*90)+(0.43*2*90))*0.39</f>
        <v>4129.8293400000002</v>
      </c>
      <c r="H94" s="23"/>
      <c r="I94" s="120">
        <f>H94*$J$9</f>
        <v>0</v>
      </c>
      <c r="J94" s="120">
        <f>ROUND(G94*I94,2)</f>
        <v>0</v>
      </c>
      <c r="M94" s="26"/>
    </row>
    <row r="95" spans="1:13" ht="12.95" customHeight="1" outlineLevel="1">
      <c r="A95" s="17" t="s">
        <v>636</v>
      </c>
      <c r="B95" s="83" t="s">
        <v>116</v>
      </c>
      <c r="C95" s="126" t="s">
        <v>47</v>
      </c>
      <c r="D95" s="117" t="s">
        <v>586</v>
      </c>
      <c r="E95" s="123" t="s">
        <v>670</v>
      </c>
      <c r="F95" s="36" t="s">
        <v>32</v>
      </c>
      <c r="G95" s="119">
        <f>$J$65*$F$7*((0.0072*16.56*3+0.0072*4.7*6+0.0072*1.01*9)+(0.45*0.96*0.06*90))</f>
        <v>26.926754399999997</v>
      </c>
      <c r="H95" s="23"/>
      <c r="I95" s="120">
        <f>H95*$J$9</f>
        <v>0</v>
      </c>
      <c r="J95" s="120">
        <f>ROUND(G95*I95,2)</f>
        <v>0</v>
      </c>
      <c r="M95" s="26"/>
    </row>
    <row r="96" spans="1:13" ht="12.95" customHeight="1" outlineLevel="1">
      <c r="B96" s="20" t="s">
        <v>36</v>
      </c>
      <c r="C96" s="28"/>
      <c r="D96" s="20"/>
      <c r="E96" s="22"/>
      <c r="F96" s="22"/>
      <c r="G96" s="23"/>
      <c r="H96" s="25"/>
      <c r="I96" s="22"/>
      <c r="J96" s="24">
        <f>SUM(J93:J95)</f>
        <v>0</v>
      </c>
    </row>
    <row r="97" spans="1:10" ht="12.95" customHeight="1">
      <c r="A97" s="16" t="s">
        <v>636</v>
      </c>
      <c r="B97" s="20" t="s">
        <v>117</v>
      </c>
      <c r="C97" s="132">
        <v>1200000</v>
      </c>
      <c r="D97" s="114"/>
      <c r="E97" s="115" t="s">
        <v>641</v>
      </c>
      <c r="F97" s="22"/>
      <c r="G97" s="23"/>
      <c r="H97" s="25"/>
      <c r="I97" s="22"/>
      <c r="J97" s="24"/>
    </row>
    <row r="98" spans="1:10" ht="12.95" customHeight="1" outlineLevel="1">
      <c r="A98" s="17" t="s">
        <v>636</v>
      </c>
      <c r="B98" s="83" t="s">
        <v>118</v>
      </c>
      <c r="C98" s="126" t="s">
        <v>67</v>
      </c>
      <c r="D98" s="117" t="s">
        <v>586</v>
      </c>
      <c r="E98" s="123" t="s">
        <v>675</v>
      </c>
      <c r="F98" s="36" t="s">
        <v>654</v>
      </c>
      <c r="G98" s="119">
        <f>$J$65*$F$7*(4.98+3.48)*2*2.26*2</f>
        <v>695.95344</v>
      </c>
      <c r="H98" s="23"/>
      <c r="I98" s="120">
        <f>H98*$J$9</f>
        <v>0</v>
      </c>
      <c r="J98" s="120">
        <f>ROUND(G98*I98,2)</f>
        <v>0</v>
      </c>
    </row>
    <row r="99" spans="1:10" ht="12.95" customHeight="1" outlineLevel="1">
      <c r="A99" s="17" t="s">
        <v>636</v>
      </c>
      <c r="B99" s="83" t="s">
        <v>119</v>
      </c>
      <c r="C99" s="126" t="s">
        <v>69</v>
      </c>
      <c r="D99" s="117" t="s">
        <v>586</v>
      </c>
      <c r="E99" s="123" t="s">
        <v>676</v>
      </c>
      <c r="F99" s="36" t="s">
        <v>654</v>
      </c>
      <c r="G99" s="119">
        <f>$J$65*$F$7*(4.98+3.48)*2*2.26*2</f>
        <v>695.95344</v>
      </c>
      <c r="H99" s="23"/>
      <c r="I99" s="120">
        <f>H99*$J$9</f>
        <v>0</v>
      </c>
      <c r="J99" s="120">
        <f>ROUND(G99*I99,2)</f>
        <v>0</v>
      </c>
    </row>
    <row r="100" spans="1:10" ht="12.75" customHeight="1" outlineLevel="1">
      <c r="B100" s="20" t="s">
        <v>50</v>
      </c>
      <c r="C100" s="28"/>
      <c r="D100" s="20"/>
      <c r="E100" s="22"/>
      <c r="F100" s="22"/>
      <c r="G100" s="23"/>
      <c r="H100" s="25"/>
      <c r="I100" s="22"/>
      <c r="J100" s="24">
        <f>SUM(J98:J99)</f>
        <v>0</v>
      </c>
    </row>
    <row r="101" spans="1:10" ht="12.95" customHeight="1">
      <c r="A101" s="16" t="s">
        <v>636</v>
      </c>
      <c r="B101" s="20" t="s">
        <v>120</v>
      </c>
      <c r="C101" s="130">
        <v>1300000</v>
      </c>
      <c r="D101" s="114"/>
      <c r="E101" s="115" t="s">
        <v>642</v>
      </c>
      <c r="F101" s="22"/>
      <c r="G101" s="23"/>
      <c r="H101" s="25"/>
      <c r="I101" s="22"/>
      <c r="J101" s="24"/>
    </row>
    <row r="102" spans="1:10" ht="12.95" customHeight="1" outlineLevel="1">
      <c r="A102" s="17" t="s">
        <v>643</v>
      </c>
      <c r="B102" s="83" t="s">
        <v>121</v>
      </c>
      <c r="C102" s="137">
        <v>106001</v>
      </c>
      <c r="D102" s="117" t="s">
        <v>644</v>
      </c>
      <c r="E102" s="123" t="s">
        <v>677</v>
      </c>
      <c r="F102" s="36" t="s">
        <v>656</v>
      </c>
      <c r="G102" s="119">
        <f>$J$65*$F$7*4.62*2.94</f>
        <v>123.60348</v>
      </c>
      <c r="H102" s="23"/>
      <c r="I102" s="120">
        <f>H102*$J$9</f>
        <v>0</v>
      </c>
      <c r="J102" s="120">
        <f>ROUND(G102*I102,2)</f>
        <v>0</v>
      </c>
    </row>
    <row r="103" spans="1:10" ht="12.95" customHeight="1" outlineLevel="1">
      <c r="A103" s="17" t="s">
        <v>636</v>
      </c>
      <c r="B103" s="83" t="s">
        <v>122</v>
      </c>
      <c r="C103" s="126" t="s">
        <v>49</v>
      </c>
      <c r="D103" s="117" t="s">
        <v>586</v>
      </c>
      <c r="E103" s="123" t="s">
        <v>671</v>
      </c>
      <c r="F103" s="36" t="s">
        <v>32</v>
      </c>
      <c r="G103" s="119">
        <f>$J$65*$F$7*4.62*2.94*0.04</f>
        <v>4.9441392000000004</v>
      </c>
      <c r="H103" s="23"/>
      <c r="I103" s="120">
        <f>H103*$J$9</f>
        <v>0</v>
      </c>
      <c r="J103" s="120">
        <f>ROUND(G103*I103,2)</f>
        <v>0</v>
      </c>
    </row>
    <row r="104" spans="1:10" ht="12.95" customHeight="1" outlineLevel="1">
      <c r="A104" s="17" t="s">
        <v>636</v>
      </c>
      <c r="B104" s="83" t="s">
        <v>123</v>
      </c>
      <c r="C104" s="126" t="s">
        <v>74</v>
      </c>
      <c r="D104" s="117" t="s">
        <v>586</v>
      </c>
      <c r="E104" s="123" t="s">
        <v>678</v>
      </c>
      <c r="F104" s="36" t="s">
        <v>32</v>
      </c>
      <c r="G104" s="119">
        <f>$J$65*$F$7*4.62*2.94*0.06</f>
        <v>7.4162087999999997</v>
      </c>
      <c r="H104" s="23"/>
      <c r="I104" s="120">
        <f>H104*$J$9</f>
        <v>0</v>
      </c>
      <c r="J104" s="120">
        <f>ROUND(G104*I104,2)</f>
        <v>0</v>
      </c>
    </row>
    <row r="105" spans="1:10" ht="12.95" customHeight="1" outlineLevel="1">
      <c r="B105" s="20" t="s">
        <v>36</v>
      </c>
      <c r="C105" s="28"/>
      <c r="D105" s="20"/>
      <c r="E105" s="22"/>
      <c r="F105" s="22"/>
      <c r="G105" s="23"/>
      <c r="H105" s="25"/>
      <c r="I105" s="22"/>
      <c r="J105" s="24">
        <f>SUM(J102:J104)</f>
        <v>0</v>
      </c>
    </row>
    <row r="106" spans="1:10" ht="12.95" customHeight="1">
      <c r="A106" s="16" t="s">
        <v>636</v>
      </c>
      <c r="B106" s="20" t="s">
        <v>124</v>
      </c>
      <c r="C106" s="132">
        <v>1600000</v>
      </c>
      <c r="D106" s="114"/>
      <c r="E106" s="115" t="s">
        <v>645</v>
      </c>
      <c r="F106" s="22"/>
      <c r="G106" s="23"/>
      <c r="H106" s="25"/>
      <c r="I106" s="22"/>
      <c r="J106" s="24"/>
    </row>
    <row r="107" spans="1:10" ht="12.95" customHeight="1" outlineLevel="1">
      <c r="A107" s="17" t="s">
        <v>636</v>
      </c>
      <c r="B107" s="83" t="s">
        <v>125</v>
      </c>
      <c r="C107" s="126" t="s">
        <v>79</v>
      </c>
      <c r="D107" s="117" t="s">
        <v>586</v>
      </c>
      <c r="E107" s="123" t="s">
        <v>680</v>
      </c>
      <c r="F107" s="36" t="s">
        <v>654</v>
      </c>
      <c r="G107" s="119">
        <f>$J$65*$F$7*4.98*3.48</f>
        <v>157.70664000000002</v>
      </c>
      <c r="H107" s="23"/>
      <c r="I107" s="120">
        <f>H107*$J$9</f>
        <v>0</v>
      </c>
      <c r="J107" s="120">
        <f>ROUND(G107*I107,2)</f>
        <v>0</v>
      </c>
    </row>
    <row r="108" spans="1:10" ht="12.95" customHeight="1" outlineLevel="1">
      <c r="A108" s="17" t="s">
        <v>636</v>
      </c>
      <c r="B108" s="354" t="s">
        <v>126</v>
      </c>
      <c r="C108" s="356" t="s">
        <v>81</v>
      </c>
      <c r="D108" s="357" t="s">
        <v>586</v>
      </c>
      <c r="E108" s="122" t="s">
        <v>681</v>
      </c>
      <c r="F108" s="354" t="s">
        <v>32</v>
      </c>
      <c r="G108" s="359">
        <f>$J$65*$F$7*0.02*0.5*6*1.1</f>
        <v>0.60060000000000013</v>
      </c>
      <c r="H108" s="359"/>
      <c r="I108" s="344">
        <f>H108*$J$9</f>
        <v>0</v>
      </c>
      <c r="J108" s="344">
        <f>ROUND(G108*I108,2)</f>
        <v>0</v>
      </c>
    </row>
    <row r="109" spans="1:10" ht="12.95" customHeight="1" outlineLevel="1">
      <c r="A109" s="17" t="s">
        <v>646</v>
      </c>
      <c r="B109" s="355"/>
      <c r="C109" s="356"/>
      <c r="D109" s="358"/>
      <c r="E109" s="123" t="s">
        <v>82</v>
      </c>
      <c r="F109" s="355"/>
      <c r="G109" s="360"/>
      <c r="H109" s="360"/>
      <c r="I109" s="345"/>
      <c r="J109" s="345"/>
    </row>
    <row r="110" spans="1:10" ht="12.95" customHeight="1" outlineLevel="1">
      <c r="A110" s="17" t="s">
        <v>636</v>
      </c>
      <c r="B110" s="354" t="s">
        <v>127</v>
      </c>
      <c r="C110" s="356" t="s">
        <v>76</v>
      </c>
      <c r="D110" s="357" t="s">
        <v>586</v>
      </c>
      <c r="E110" s="122" t="s">
        <v>679</v>
      </c>
      <c r="F110" s="354" t="s">
        <v>32</v>
      </c>
      <c r="G110" s="359">
        <f>F7*6*1.5*(0.4*0.4*0.06)</f>
        <v>0.6048</v>
      </c>
      <c r="H110" s="359"/>
      <c r="I110" s="344">
        <f>H110*$J$9</f>
        <v>0</v>
      </c>
      <c r="J110" s="344">
        <f>ROUND(G110*I110,2)</f>
        <v>0</v>
      </c>
    </row>
    <row r="111" spans="1:10" ht="12.95" customHeight="1" outlineLevel="1">
      <c r="A111" s="17" t="s">
        <v>646</v>
      </c>
      <c r="B111" s="355"/>
      <c r="C111" s="356"/>
      <c r="D111" s="358"/>
      <c r="E111" s="123" t="s">
        <v>84</v>
      </c>
      <c r="F111" s="355"/>
      <c r="G111" s="360"/>
      <c r="H111" s="360"/>
      <c r="I111" s="345"/>
      <c r="J111" s="345"/>
    </row>
    <row r="112" spans="1:10" ht="14.25" customHeight="1" outlineLevel="1" thickBot="1">
      <c r="B112" s="20" t="s">
        <v>50</v>
      </c>
      <c r="C112" s="20"/>
      <c r="D112" s="20"/>
      <c r="E112" s="29"/>
      <c r="F112" s="22"/>
      <c r="G112" s="23"/>
      <c r="H112" s="25"/>
      <c r="I112" s="22"/>
      <c r="J112" s="24">
        <f>SUM(J107:J111)</f>
        <v>0</v>
      </c>
    </row>
    <row r="113" spans="1:11" ht="18" customHeight="1" thickBot="1">
      <c r="B113" s="346" t="s">
        <v>90</v>
      </c>
      <c r="C113" s="347"/>
      <c r="D113" s="347"/>
      <c r="E113" s="347"/>
      <c r="F113" s="347"/>
      <c r="G113" s="347"/>
      <c r="H113" s="348"/>
      <c r="I113" s="349">
        <f>J112+J105+J100+J96+J91+J88+J83+J75</f>
        <v>0</v>
      </c>
      <c r="J113" s="350"/>
      <c r="K113" s="30"/>
    </row>
    <row r="114" spans="1:11" ht="9.9499999999999993" customHeight="1" thickBot="1">
      <c r="B114" s="31"/>
      <c r="C114" s="31"/>
      <c r="D114" s="31"/>
      <c r="E114" s="31"/>
      <c r="F114" s="31"/>
      <c r="G114" s="31"/>
      <c r="H114" s="31"/>
      <c r="I114" s="33"/>
      <c r="J114" s="33"/>
      <c r="K114" s="30"/>
    </row>
    <row r="115" spans="1:11" ht="24.95" customHeight="1" thickBot="1">
      <c r="B115" s="332" t="str">
        <f>B9</f>
        <v>Planilha</v>
      </c>
      <c r="C115" s="104">
        <v>3</v>
      </c>
      <c r="D115" s="105"/>
      <c r="E115" s="106" t="s">
        <v>128</v>
      </c>
      <c r="F115" s="105"/>
      <c r="G115" s="105"/>
      <c r="H115" s="138"/>
      <c r="I115" s="139"/>
      <c r="J115" s="140"/>
    </row>
    <row r="116" spans="1:11" ht="27" customHeight="1" thickBot="1">
      <c r="B116" s="109" t="s">
        <v>10</v>
      </c>
      <c r="C116" s="109" t="s">
        <v>11</v>
      </c>
      <c r="D116" s="109" t="s">
        <v>12</v>
      </c>
      <c r="E116" s="109" t="s">
        <v>13</v>
      </c>
      <c r="F116" s="109" t="s">
        <v>14</v>
      </c>
      <c r="G116" s="110" t="s">
        <v>15</v>
      </c>
      <c r="H116" s="111" t="s">
        <v>16</v>
      </c>
      <c r="I116" s="111" t="s">
        <v>17</v>
      </c>
      <c r="J116" s="112" t="s">
        <v>18</v>
      </c>
    </row>
    <row r="117" spans="1:11" ht="12.95" customHeight="1">
      <c r="A117" s="16" t="s">
        <v>636</v>
      </c>
      <c r="B117" s="20" t="s">
        <v>129</v>
      </c>
      <c r="C117" s="113">
        <v>100000</v>
      </c>
      <c r="D117" s="114"/>
      <c r="E117" s="141" t="s">
        <v>637</v>
      </c>
      <c r="F117" s="22"/>
      <c r="G117" s="23"/>
      <c r="H117" s="25"/>
      <c r="I117" s="22"/>
      <c r="J117" s="24"/>
    </row>
    <row r="118" spans="1:11" ht="12.95" customHeight="1" outlineLevel="1">
      <c r="A118" s="17" t="s">
        <v>636</v>
      </c>
      <c r="B118" s="34" t="s">
        <v>130</v>
      </c>
      <c r="C118" s="126" t="s">
        <v>131</v>
      </c>
      <c r="D118" s="117" t="s">
        <v>586</v>
      </c>
      <c r="E118" s="123" t="s">
        <v>690</v>
      </c>
      <c r="F118" s="36" t="s">
        <v>654</v>
      </c>
      <c r="G118" s="119">
        <f>31*16</f>
        <v>496</v>
      </c>
      <c r="H118" s="23"/>
      <c r="I118" s="120">
        <f>H118*$J$9</f>
        <v>0</v>
      </c>
      <c r="J118" s="120">
        <f t="shared" ref="J118:J122" si="7">ROUND(G118*I118,2)</f>
        <v>0</v>
      </c>
      <c r="K118" s="19"/>
    </row>
    <row r="119" spans="1:11" ht="12.95" customHeight="1" outlineLevel="1">
      <c r="A119" s="17" t="s">
        <v>636</v>
      </c>
      <c r="B119" s="34" t="s">
        <v>132</v>
      </c>
      <c r="C119" s="127" t="s">
        <v>133</v>
      </c>
      <c r="D119" s="117" t="s">
        <v>586</v>
      </c>
      <c r="E119" s="123" t="s">
        <v>691</v>
      </c>
      <c r="F119" s="36" t="s">
        <v>32</v>
      </c>
      <c r="G119" s="119">
        <f>G118*0.2</f>
        <v>99.2</v>
      </c>
      <c r="H119" s="23"/>
      <c r="I119" s="120">
        <f>H119*$J$9</f>
        <v>0</v>
      </c>
      <c r="J119" s="120">
        <f t="shared" si="7"/>
        <v>0</v>
      </c>
      <c r="K119" s="19"/>
    </row>
    <row r="120" spans="1:11" ht="12.95" customHeight="1" outlineLevel="1">
      <c r="A120" s="17" t="s">
        <v>636</v>
      </c>
      <c r="B120" s="34" t="s">
        <v>134</v>
      </c>
      <c r="C120" s="126" t="s">
        <v>27</v>
      </c>
      <c r="D120" s="142" t="s">
        <v>586</v>
      </c>
      <c r="E120" s="123" t="s">
        <v>662</v>
      </c>
      <c r="F120" s="36" t="s">
        <v>32</v>
      </c>
      <c r="G120" s="143">
        <f>G118*0.5</f>
        <v>248</v>
      </c>
      <c r="H120" s="23"/>
      <c r="I120" s="144">
        <f>H120*$J$9</f>
        <v>0</v>
      </c>
      <c r="J120" s="144">
        <f t="shared" si="7"/>
        <v>0</v>
      </c>
    </row>
    <row r="121" spans="1:11" ht="26.25" customHeight="1" outlineLevel="1">
      <c r="A121" s="17" t="s">
        <v>636</v>
      </c>
      <c r="B121" s="34" t="s">
        <v>135</v>
      </c>
      <c r="C121" s="127" t="s">
        <v>136</v>
      </c>
      <c r="D121" s="142" t="s">
        <v>586</v>
      </c>
      <c r="E121" s="123" t="s">
        <v>692</v>
      </c>
      <c r="F121" s="36" t="s">
        <v>32</v>
      </c>
      <c r="G121" s="143">
        <f>G118*0.5</f>
        <v>248</v>
      </c>
      <c r="H121" s="23"/>
      <c r="I121" s="144">
        <f>H121*$J$9</f>
        <v>0</v>
      </c>
      <c r="J121" s="144">
        <f t="shared" si="7"/>
        <v>0</v>
      </c>
    </row>
    <row r="122" spans="1:11" ht="14.25" customHeight="1" outlineLevel="1">
      <c r="A122" s="17" t="s">
        <v>643</v>
      </c>
      <c r="B122" s="34" t="s">
        <v>137</v>
      </c>
      <c r="C122" s="145">
        <v>102003</v>
      </c>
      <c r="D122" s="142" t="s">
        <v>644</v>
      </c>
      <c r="E122" s="123" t="s">
        <v>693</v>
      </c>
      <c r="F122" s="36" t="s">
        <v>682</v>
      </c>
      <c r="G122" s="143">
        <f>G118*0.4</f>
        <v>198.4</v>
      </c>
      <c r="H122" s="23"/>
      <c r="I122" s="144">
        <f>H122*$J$9</f>
        <v>0</v>
      </c>
      <c r="J122" s="144">
        <f t="shared" si="7"/>
        <v>0</v>
      </c>
    </row>
    <row r="123" spans="1:11" ht="12.95" customHeight="1" outlineLevel="1">
      <c r="B123" s="35" t="s">
        <v>36</v>
      </c>
      <c r="C123" s="28"/>
      <c r="D123" s="20"/>
      <c r="E123" s="22"/>
      <c r="F123" s="22"/>
      <c r="G123" s="23"/>
      <c r="H123" s="23"/>
      <c r="I123" s="22"/>
      <c r="J123" s="24">
        <f>SUM(J118:J122)</f>
        <v>0</v>
      </c>
    </row>
    <row r="124" spans="1:11" ht="12.95" customHeight="1">
      <c r="A124" s="16" t="s">
        <v>636</v>
      </c>
      <c r="B124" s="35" t="s">
        <v>138</v>
      </c>
      <c r="C124" s="132">
        <v>200000</v>
      </c>
      <c r="D124" s="114"/>
      <c r="E124" s="115" t="s">
        <v>638</v>
      </c>
      <c r="F124" s="22"/>
      <c r="G124" s="23"/>
      <c r="H124" s="25"/>
      <c r="I124" s="22"/>
      <c r="J124" s="24"/>
    </row>
    <row r="125" spans="1:11" outlineLevel="1">
      <c r="A125" s="17" t="s">
        <v>636</v>
      </c>
      <c r="B125" s="34" t="s">
        <v>139</v>
      </c>
      <c r="C125" s="126" t="s">
        <v>39</v>
      </c>
      <c r="D125" s="117" t="s">
        <v>586</v>
      </c>
      <c r="E125" s="123" t="s">
        <v>666</v>
      </c>
      <c r="F125" s="36" t="s">
        <v>32</v>
      </c>
      <c r="G125" s="119">
        <v>19.458400000000001</v>
      </c>
      <c r="H125" s="23"/>
      <c r="I125" s="120">
        <f t="shared" ref="I125:I130" si="8">H125*$J$9</f>
        <v>0</v>
      </c>
      <c r="J125" s="120">
        <f t="shared" ref="J125:J130" si="9">ROUND(G125*I125,2)</f>
        <v>0</v>
      </c>
    </row>
    <row r="126" spans="1:11" ht="12.95" customHeight="1" outlineLevel="1">
      <c r="A126" s="17" t="s">
        <v>636</v>
      </c>
      <c r="B126" s="34" t="s">
        <v>140</v>
      </c>
      <c r="C126" s="126" t="s">
        <v>41</v>
      </c>
      <c r="D126" s="117" t="s">
        <v>586</v>
      </c>
      <c r="E126" s="123" t="s">
        <v>667</v>
      </c>
      <c r="F126" s="36" t="s">
        <v>592</v>
      </c>
      <c r="G126" s="119">
        <v>444</v>
      </c>
      <c r="H126" s="23"/>
      <c r="I126" s="120">
        <f t="shared" si="8"/>
        <v>0</v>
      </c>
      <c r="J126" s="120">
        <f t="shared" si="9"/>
        <v>0</v>
      </c>
    </row>
    <row r="127" spans="1:11" ht="12.95" customHeight="1" outlineLevel="1">
      <c r="A127" s="17" t="s">
        <v>636</v>
      </c>
      <c r="B127" s="34" t="s">
        <v>141</v>
      </c>
      <c r="C127" s="126" t="s">
        <v>43</v>
      </c>
      <c r="D127" s="117" t="s">
        <v>586</v>
      </c>
      <c r="E127" s="123" t="s">
        <v>668</v>
      </c>
      <c r="F127" s="36" t="s">
        <v>654</v>
      </c>
      <c r="G127" s="119">
        <v>128.04000000000002</v>
      </c>
      <c r="H127" s="23"/>
      <c r="I127" s="120">
        <f t="shared" si="8"/>
        <v>0</v>
      </c>
      <c r="J127" s="120">
        <f t="shared" si="9"/>
        <v>0</v>
      </c>
    </row>
    <row r="128" spans="1:11" ht="12.95" customHeight="1" outlineLevel="1">
      <c r="A128" s="17" t="s">
        <v>636</v>
      </c>
      <c r="B128" s="34" t="s">
        <v>142</v>
      </c>
      <c r="C128" s="126" t="s">
        <v>45</v>
      </c>
      <c r="D128" s="117" t="s">
        <v>586</v>
      </c>
      <c r="E128" s="123" t="s">
        <v>669</v>
      </c>
      <c r="F128" s="36" t="s">
        <v>655</v>
      </c>
      <c r="G128" s="119">
        <v>1059.8934940000001</v>
      </c>
      <c r="H128" s="23"/>
      <c r="I128" s="120">
        <f t="shared" si="8"/>
        <v>0</v>
      </c>
      <c r="J128" s="120">
        <f t="shared" si="9"/>
        <v>0</v>
      </c>
    </row>
    <row r="129" spans="1:10" ht="12.95" customHeight="1" outlineLevel="1">
      <c r="A129" s="17" t="s">
        <v>636</v>
      </c>
      <c r="B129" s="34" t="s">
        <v>143</v>
      </c>
      <c r="C129" s="126" t="s">
        <v>47</v>
      </c>
      <c r="D129" s="117" t="s">
        <v>586</v>
      </c>
      <c r="E129" s="123" t="s">
        <v>670</v>
      </c>
      <c r="F129" s="36" t="s">
        <v>32</v>
      </c>
      <c r="G129" s="119">
        <v>14.968</v>
      </c>
      <c r="H129" s="23"/>
      <c r="I129" s="120">
        <f t="shared" si="8"/>
        <v>0</v>
      </c>
      <c r="J129" s="120">
        <f t="shared" si="9"/>
        <v>0</v>
      </c>
    </row>
    <row r="130" spans="1:10" ht="12.95" customHeight="1" outlineLevel="1">
      <c r="A130" s="17" t="s">
        <v>636</v>
      </c>
      <c r="B130" s="34" t="s">
        <v>144</v>
      </c>
      <c r="C130" s="126" t="s">
        <v>49</v>
      </c>
      <c r="D130" s="117" t="s">
        <v>586</v>
      </c>
      <c r="E130" s="123" t="s">
        <v>671</v>
      </c>
      <c r="F130" s="36" t="s">
        <v>32</v>
      </c>
      <c r="G130" s="119">
        <v>1.5488000000000002</v>
      </c>
      <c r="H130" s="23"/>
      <c r="I130" s="120">
        <f t="shared" si="8"/>
        <v>0</v>
      </c>
      <c r="J130" s="120">
        <f t="shared" si="9"/>
        <v>0</v>
      </c>
    </row>
    <row r="131" spans="1:10" ht="12.75" customHeight="1" outlineLevel="1">
      <c r="B131" s="35" t="s">
        <v>50</v>
      </c>
      <c r="C131" s="28"/>
      <c r="D131" s="20"/>
      <c r="E131" s="22"/>
      <c r="F131" s="22"/>
      <c r="G131" s="23"/>
      <c r="H131" s="25"/>
      <c r="I131" s="22"/>
      <c r="J131" s="24">
        <f>SUM(J125:J130)</f>
        <v>0</v>
      </c>
    </row>
    <row r="132" spans="1:10" ht="12.95" customHeight="1">
      <c r="A132" s="16" t="s">
        <v>636</v>
      </c>
      <c r="B132" s="35" t="s">
        <v>145</v>
      </c>
      <c r="C132" s="130">
        <v>300000</v>
      </c>
      <c r="D132" s="114"/>
      <c r="E132" s="115" t="s">
        <v>639</v>
      </c>
      <c r="F132" s="22"/>
      <c r="G132" s="23"/>
      <c r="H132" s="25"/>
      <c r="I132" s="22"/>
      <c r="J132" s="24"/>
    </row>
    <row r="133" spans="1:10" ht="12.95" customHeight="1" outlineLevel="1">
      <c r="A133" s="17" t="s">
        <v>636</v>
      </c>
      <c r="B133" s="34" t="s">
        <v>146</v>
      </c>
      <c r="C133" s="126" t="s">
        <v>53</v>
      </c>
      <c r="D133" s="117" t="s">
        <v>586</v>
      </c>
      <c r="E133" s="123" t="s">
        <v>672</v>
      </c>
      <c r="F133" s="36" t="s">
        <v>654</v>
      </c>
      <c r="G133" s="119">
        <v>115.7</v>
      </c>
      <c r="H133" s="23"/>
      <c r="I133" s="120">
        <f>H133*$J$9</f>
        <v>0</v>
      </c>
      <c r="J133" s="120">
        <f>ROUND(G133*I133,2)</f>
        <v>0</v>
      </c>
    </row>
    <row r="134" spans="1:10" ht="12.95" customHeight="1" outlineLevel="1">
      <c r="A134" s="17" t="s">
        <v>636</v>
      </c>
      <c r="B134" s="34" t="s">
        <v>147</v>
      </c>
      <c r="C134" s="126" t="s">
        <v>45</v>
      </c>
      <c r="D134" s="117" t="s">
        <v>586</v>
      </c>
      <c r="E134" s="123" t="s">
        <v>669</v>
      </c>
      <c r="F134" s="36" t="s">
        <v>655</v>
      </c>
      <c r="G134" s="119">
        <v>3062.5386999999996</v>
      </c>
      <c r="H134" s="23"/>
      <c r="I134" s="120">
        <f>H134*$J$9</f>
        <v>0</v>
      </c>
      <c r="J134" s="120">
        <f>ROUND(G134*I134,2)</f>
        <v>0</v>
      </c>
    </row>
    <row r="135" spans="1:10" ht="12.95" customHeight="1" outlineLevel="1">
      <c r="A135" s="17" t="s">
        <v>636</v>
      </c>
      <c r="B135" s="34" t="s">
        <v>148</v>
      </c>
      <c r="C135" s="126" t="s">
        <v>47</v>
      </c>
      <c r="D135" s="117" t="s">
        <v>586</v>
      </c>
      <c r="E135" s="123" t="s">
        <v>670</v>
      </c>
      <c r="F135" s="36" t="s">
        <v>32</v>
      </c>
      <c r="G135" s="119">
        <v>35.580000000000005</v>
      </c>
      <c r="H135" s="23"/>
      <c r="I135" s="120">
        <f>H135*$J$9</f>
        <v>0</v>
      </c>
      <c r="J135" s="120">
        <f>ROUND(G135*I135,2)</f>
        <v>0</v>
      </c>
    </row>
    <row r="136" spans="1:10" ht="26.25" customHeight="1" outlineLevel="1">
      <c r="A136" s="17" t="s">
        <v>636</v>
      </c>
      <c r="B136" s="34" t="s">
        <v>149</v>
      </c>
      <c r="C136" s="126" t="s">
        <v>150</v>
      </c>
      <c r="D136" s="117" t="s">
        <v>586</v>
      </c>
      <c r="E136" s="123" t="s">
        <v>694</v>
      </c>
      <c r="F136" s="36" t="s">
        <v>654</v>
      </c>
      <c r="G136" s="119">
        <f>13.2*26.55+7.55*4</f>
        <v>380.65999999999997</v>
      </c>
      <c r="H136" s="23"/>
      <c r="I136" s="120">
        <f>H136*$J$9</f>
        <v>0</v>
      </c>
      <c r="J136" s="120">
        <f>ROUND(G136*I136,2)</f>
        <v>0</v>
      </c>
    </row>
    <row r="137" spans="1:10" ht="12.95" customHeight="1" outlineLevel="1">
      <c r="A137" s="17" t="s">
        <v>636</v>
      </c>
      <c r="B137" s="354" t="s">
        <v>151</v>
      </c>
      <c r="C137" s="361" t="s">
        <v>45</v>
      </c>
      <c r="D137" s="363" t="s">
        <v>586</v>
      </c>
      <c r="E137" s="122" t="s">
        <v>669</v>
      </c>
      <c r="F137" s="365" t="s">
        <v>655</v>
      </c>
      <c r="G137" s="359">
        <v>500</v>
      </c>
      <c r="H137" s="359"/>
      <c r="I137" s="344">
        <f>H137*$J$9</f>
        <v>0</v>
      </c>
      <c r="J137" s="344">
        <f>ROUND(G137*I137,2)</f>
        <v>0</v>
      </c>
    </row>
    <row r="138" spans="1:10" ht="12.95" customHeight="1" outlineLevel="1">
      <c r="A138" s="17" t="s">
        <v>646</v>
      </c>
      <c r="B138" s="355"/>
      <c r="C138" s="375"/>
      <c r="D138" s="364"/>
      <c r="E138" s="123" t="s">
        <v>152</v>
      </c>
      <c r="F138" s="366"/>
      <c r="G138" s="360"/>
      <c r="H138" s="360"/>
      <c r="I138" s="345"/>
      <c r="J138" s="345"/>
    </row>
    <row r="139" spans="1:10" ht="12.95" customHeight="1" outlineLevel="1">
      <c r="B139" s="35" t="s">
        <v>36</v>
      </c>
      <c r="C139" s="28"/>
      <c r="D139" s="20"/>
      <c r="E139" s="29"/>
      <c r="F139" s="22"/>
      <c r="G139" s="23"/>
      <c r="H139" s="25"/>
      <c r="I139" s="22"/>
      <c r="J139" s="24">
        <f>SUM(J133:J138)</f>
        <v>0</v>
      </c>
    </row>
    <row r="140" spans="1:10" ht="12.95" customHeight="1">
      <c r="A140" s="16" t="s">
        <v>636</v>
      </c>
      <c r="B140" s="35" t="s">
        <v>153</v>
      </c>
      <c r="C140" s="132">
        <v>400000</v>
      </c>
      <c r="D140" s="114"/>
      <c r="E140" s="115" t="s">
        <v>640</v>
      </c>
      <c r="F140" s="22"/>
      <c r="G140" s="23"/>
      <c r="H140" s="25"/>
      <c r="I140" s="22"/>
      <c r="J140" s="24"/>
    </row>
    <row r="141" spans="1:10" ht="12.95" customHeight="1" outlineLevel="1">
      <c r="A141" s="17" t="s">
        <v>636</v>
      </c>
      <c r="B141" s="34" t="s">
        <v>154</v>
      </c>
      <c r="C141" s="127" t="s">
        <v>155</v>
      </c>
      <c r="D141" s="117" t="s">
        <v>586</v>
      </c>
      <c r="E141" s="123" t="s">
        <v>695</v>
      </c>
      <c r="F141" s="36" t="s">
        <v>654</v>
      </c>
      <c r="G141" s="119">
        <f>8*7.75*2.8+4*4*2.8+2.5*3*2.8+(7.5*2+4*2)*2.5</f>
        <v>296.89999999999998</v>
      </c>
      <c r="H141" s="23"/>
      <c r="I141" s="120">
        <f>H141*$J$9</f>
        <v>0</v>
      </c>
      <c r="J141" s="120">
        <f>ROUND(G141*I141,2)</f>
        <v>0</v>
      </c>
    </row>
    <row r="142" spans="1:10" ht="12.95" customHeight="1" outlineLevel="1">
      <c r="A142" s="17" t="s">
        <v>636</v>
      </c>
      <c r="B142" s="34" t="s">
        <v>156</v>
      </c>
      <c r="C142" s="127" t="s">
        <v>157</v>
      </c>
      <c r="D142" s="117" t="s">
        <v>586</v>
      </c>
      <c r="E142" s="123" t="s">
        <v>696</v>
      </c>
      <c r="F142" s="36" t="s">
        <v>654</v>
      </c>
      <c r="G142" s="119">
        <f>2.5*3*2.8+(26.5*2+13.3*2)*1.05</f>
        <v>104.58</v>
      </c>
      <c r="H142" s="23"/>
      <c r="I142" s="120">
        <f>H142*$J$9</f>
        <v>0</v>
      </c>
      <c r="J142" s="120">
        <f>ROUND(G142*I142,2)</f>
        <v>0</v>
      </c>
    </row>
    <row r="143" spans="1:10" ht="12.75" customHeight="1" outlineLevel="1">
      <c r="B143" s="35" t="s">
        <v>50</v>
      </c>
      <c r="C143" s="28"/>
      <c r="D143" s="20"/>
      <c r="E143" s="22"/>
      <c r="F143" s="22"/>
      <c r="G143" s="23"/>
      <c r="H143" s="25"/>
      <c r="I143" s="22"/>
      <c r="J143" s="24">
        <f>SUM(J141:J142)</f>
        <v>0</v>
      </c>
    </row>
    <row r="144" spans="1:10" ht="12.95" customHeight="1">
      <c r="A144" s="1" t="s">
        <v>59</v>
      </c>
      <c r="B144" s="35" t="s">
        <v>158</v>
      </c>
      <c r="C144" s="130">
        <v>600000</v>
      </c>
      <c r="D144" s="114"/>
      <c r="E144" s="115" t="s">
        <v>648</v>
      </c>
      <c r="F144" s="22"/>
      <c r="G144" s="23"/>
      <c r="H144" s="25"/>
      <c r="I144" s="22"/>
      <c r="J144" s="24"/>
    </row>
    <row r="145" spans="1:13" ht="12.95" customHeight="1" outlineLevel="1">
      <c r="A145" s="17" t="s">
        <v>636</v>
      </c>
      <c r="B145" s="379" t="s">
        <v>159</v>
      </c>
      <c r="C145" s="356" t="s">
        <v>160</v>
      </c>
      <c r="D145" s="380" t="s">
        <v>586</v>
      </c>
      <c r="E145" s="146" t="s">
        <v>697</v>
      </c>
      <c r="F145" s="379" t="s">
        <v>654</v>
      </c>
      <c r="G145" s="381">
        <f>6*0.8*2.1+6*0.9*2.1+1*1</f>
        <v>22.42</v>
      </c>
      <c r="H145" s="381"/>
      <c r="I145" s="376">
        <f>H145*$J$9</f>
        <v>0</v>
      </c>
      <c r="J145" s="376">
        <f>ROUND(G145*I145,2)</f>
        <v>0</v>
      </c>
      <c r="M145" s="26"/>
    </row>
    <row r="146" spans="1:13" ht="12.95" customHeight="1" outlineLevel="1">
      <c r="A146" s="17"/>
      <c r="B146" s="379"/>
      <c r="C146" s="356"/>
      <c r="D146" s="380"/>
      <c r="E146" s="147" t="s">
        <v>161</v>
      </c>
      <c r="F146" s="379"/>
      <c r="G146" s="381"/>
      <c r="H146" s="381"/>
      <c r="I146" s="376"/>
      <c r="J146" s="376"/>
      <c r="M146" s="26"/>
    </row>
    <row r="147" spans="1:13" ht="12.95" customHeight="1" outlineLevel="1">
      <c r="B147" s="35" t="s">
        <v>36</v>
      </c>
      <c r="C147" s="28"/>
      <c r="D147" s="20"/>
      <c r="E147" s="22"/>
      <c r="F147" s="22"/>
      <c r="G147" s="23"/>
      <c r="H147" s="25"/>
      <c r="I147" s="22"/>
      <c r="J147" s="24">
        <f>SUM(J145:J146)</f>
        <v>0</v>
      </c>
    </row>
    <row r="148" spans="1:13" ht="12.95" customHeight="1">
      <c r="A148" s="16" t="s">
        <v>636</v>
      </c>
      <c r="B148" s="35" t="s">
        <v>162</v>
      </c>
      <c r="C148" s="132">
        <v>700000</v>
      </c>
      <c r="D148" s="114"/>
      <c r="E148" s="115" t="s">
        <v>649</v>
      </c>
      <c r="F148" s="22"/>
      <c r="G148" s="23"/>
      <c r="H148" s="25"/>
      <c r="I148" s="22"/>
      <c r="J148" s="24"/>
    </row>
    <row r="149" spans="1:13" ht="12.95" customHeight="1" outlineLevel="1">
      <c r="A149" s="17" t="s">
        <v>636</v>
      </c>
      <c r="B149" s="34" t="s">
        <v>163</v>
      </c>
      <c r="C149" s="127" t="s">
        <v>164</v>
      </c>
      <c r="D149" s="117" t="s">
        <v>586</v>
      </c>
      <c r="E149" s="123" t="s">
        <v>698</v>
      </c>
      <c r="F149" s="36" t="s">
        <v>655</v>
      </c>
      <c r="G149" s="119">
        <f>G136*7</f>
        <v>2664.62</v>
      </c>
      <c r="H149" s="23"/>
      <c r="I149" s="120">
        <f t="shared" ref="I149:I155" si="10">H149*$J$9</f>
        <v>0</v>
      </c>
      <c r="J149" s="120">
        <f t="shared" ref="J149:J155" si="11">ROUND(G149*I149,2)</f>
        <v>0</v>
      </c>
    </row>
    <row r="150" spans="1:13" ht="12.95" customHeight="1" outlineLevel="1">
      <c r="A150" s="17" t="s">
        <v>636</v>
      </c>
      <c r="B150" s="34" t="s">
        <v>165</v>
      </c>
      <c r="C150" s="127" t="s">
        <v>166</v>
      </c>
      <c r="D150" s="117" t="s">
        <v>586</v>
      </c>
      <c r="E150" s="123" t="s">
        <v>699</v>
      </c>
      <c r="F150" s="36" t="s">
        <v>654</v>
      </c>
      <c r="G150" s="119">
        <f>G136*1.05</f>
        <v>399.69299999999998</v>
      </c>
      <c r="H150" s="23"/>
      <c r="I150" s="120">
        <f t="shared" si="10"/>
        <v>0</v>
      </c>
      <c r="J150" s="120">
        <f t="shared" si="11"/>
        <v>0</v>
      </c>
    </row>
    <row r="151" spans="1:13" ht="12.95" customHeight="1" outlineLevel="1">
      <c r="A151" s="17" t="s">
        <v>636</v>
      </c>
      <c r="B151" s="34" t="s">
        <v>167</v>
      </c>
      <c r="C151" s="127" t="s">
        <v>168</v>
      </c>
      <c r="D151" s="117" t="s">
        <v>586</v>
      </c>
      <c r="E151" s="123" t="s">
        <v>700</v>
      </c>
      <c r="F151" s="36" t="s">
        <v>592</v>
      </c>
      <c r="G151" s="119">
        <f>26.5*2+7.5</f>
        <v>60.5</v>
      </c>
      <c r="H151" s="23"/>
      <c r="I151" s="120">
        <f t="shared" si="10"/>
        <v>0</v>
      </c>
      <c r="J151" s="120">
        <f t="shared" si="11"/>
        <v>0</v>
      </c>
    </row>
    <row r="152" spans="1:13" ht="12.95" customHeight="1" outlineLevel="1">
      <c r="A152" s="17" t="s">
        <v>636</v>
      </c>
      <c r="B152" s="34" t="s">
        <v>169</v>
      </c>
      <c r="C152" s="127" t="s">
        <v>170</v>
      </c>
      <c r="D152" s="117" t="s">
        <v>586</v>
      </c>
      <c r="E152" s="123" t="s">
        <v>701</v>
      </c>
      <c r="F152" s="36" t="s">
        <v>592</v>
      </c>
      <c r="G152" s="119">
        <f>(26.5*2+13.3*2)*2+(4.25+7.75)*2*2</f>
        <v>207.2</v>
      </c>
      <c r="H152" s="23"/>
      <c r="I152" s="120">
        <f t="shared" si="10"/>
        <v>0</v>
      </c>
      <c r="J152" s="120">
        <f t="shared" si="11"/>
        <v>0</v>
      </c>
    </row>
    <row r="153" spans="1:13" ht="12.95" customHeight="1" outlineLevel="1">
      <c r="A153" s="17" t="s">
        <v>643</v>
      </c>
      <c r="B153" s="34" t="s">
        <v>171</v>
      </c>
      <c r="C153" s="148">
        <v>811004</v>
      </c>
      <c r="D153" s="117" t="s">
        <v>644</v>
      </c>
      <c r="E153" s="123" t="s">
        <v>702</v>
      </c>
      <c r="F153" s="36" t="s">
        <v>683</v>
      </c>
      <c r="G153" s="119">
        <f>10*4</f>
        <v>40</v>
      </c>
      <c r="H153" s="23"/>
      <c r="I153" s="120">
        <f t="shared" si="10"/>
        <v>0</v>
      </c>
      <c r="J153" s="120">
        <f t="shared" si="11"/>
        <v>0</v>
      </c>
    </row>
    <row r="154" spans="1:13" ht="12.95" customHeight="1" outlineLevel="1">
      <c r="A154" s="17" t="s">
        <v>643</v>
      </c>
      <c r="B154" s="34" t="s">
        <v>172</v>
      </c>
      <c r="C154" s="148">
        <v>1605031</v>
      </c>
      <c r="D154" s="117" t="s">
        <v>644</v>
      </c>
      <c r="E154" s="123" t="s">
        <v>703</v>
      </c>
      <c r="F154" s="36" t="s">
        <v>683</v>
      </c>
      <c r="G154" s="119">
        <f>28*2+12+4*10</f>
        <v>108</v>
      </c>
      <c r="H154" s="23"/>
      <c r="I154" s="120">
        <f t="shared" si="10"/>
        <v>0</v>
      </c>
      <c r="J154" s="120">
        <f t="shared" si="11"/>
        <v>0</v>
      </c>
    </row>
    <row r="155" spans="1:13" ht="12.95" customHeight="1" outlineLevel="1">
      <c r="A155" s="17" t="s">
        <v>643</v>
      </c>
      <c r="B155" s="34" t="s">
        <v>173</v>
      </c>
      <c r="C155" s="148">
        <v>1605041</v>
      </c>
      <c r="D155" s="117" t="s">
        <v>644</v>
      </c>
      <c r="E155" s="123" t="s">
        <v>704</v>
      </c>
      <c r="F155" s="36" t="s">
        <v>683</v>
      </c>
      <c r="G155" s="119">
        <f>G154</f>
        <v>108</v>
      </c>
      <c r="H155" s="23"/>
      <c r="I155" s="120">
        <f t="shared" si="10"/>
        <v>0</v>
      </c>
      <c r="J155" s="120">
        <f t="shared" si="11"/>
        <v>0</v>
      </c>
    </row>
    <row r="156" spans="1:13" ht="12.75" customHeight="1" outlineLevel="1">
      <c r="B156" s="35" t="s">
        <v>50</v>
      </c>
      <c r="C156" s="28"/>
      <c r="D156" s="20"/>
      <c r="E156" s="22"/>
      <c r="F156" s="22"/>
      <c r="G156" s="23"/>
      <c r="H156" s="25"/>
      <c r="I156" s="22"/>
      <c r="J156" s="24">
        <f>SUM(J149:J155)</f>
        <v>0</v>
      </c>
    </row>
    <row r="157" spans="1:13" ht="12.95" customHeight="1">
      <c r="A157" s="16" t="s">
        <v>636</v>
      </c>
      <c r="B157" s="35" t="s">
        <v>174</v>
      </c>
      <c r="C157" s="132">
        <v>800000</v>
      </c>
      <c r="D157" s="114"/>
      <c r="E157" s="115" t="s">
        <v>650</v>
      </c>
      <c r="F157" s="22"/>
      <c r="G157" s="23"/>
      <c r="H157" s="25"/>
      <c r="I157" s="22"/>
      <c r="J157" s="24"/>
    </row>
    <row r="158" spans="1:13" ht="12.95" customHeight="1" outlineLevel="1">
      <c r="A158" s="17" t="s">
        <v>636</v>
      </c>
      <c r="B158" s="34" t="s">
        <v>175</v>
      </c>
      <c r="C158" s="125" t="s">
        <v>176</v>
      </c>
      <c r="D158" s="117" t="s">
        <v>586</v>
      </c>
      <c r="E158" s="123" t="s">
        <v>705</v>
      </c>
      <c r="F158" s="36" t="s">
        <v>592</v>
      </c>
      <c r="G158" s="119">
        <v>130</v>
      </c>
      <c r="H158" s="23"/>
      <c r="I158" s="120">
        <f t="shared" ref="I158:I189" si="12">H158*$J$9</f>
        <v>0</v>
      </c>
      <c r="J158" s="120">
        <f t="shared" ref="J158:J189" si="13">ROUND(G158*I158,2)</f>
        <v>0</v>
      </c>
    </row>
    <row r="159" spans="1:13" ht="12.95" customHeight="1" outlineLevel="1">
      <c r="A159" s="17" t="s">
        <v>636</v>
      </c>
      <c r="B159" s="34" t="s">
        <v>177</v>
      </c>
      <c r="C159" s="126" t="s">
        <v>178</v>
      </c>
      <c r="D159" s="117" t="s">
        <v>586</v>
      </c>
      <c r="E159" s="123" t="s">
        <v>706</v>
      </c>
      <c r="F159" s="36" t="s">
        <v>592</v>
      </c>
      <c r="G159" s="119">
        <f>24+30</f>
        <v>54</v>
      </c>
      <c r="H159" s="23"/>
      <c r="I159" s="120">
        <f t="shared" si="12"/>
        <v>0</v>
      </c>
      <c r="J159" s="120">
        <f t="shared" si="13"/>
        <v>0</v>
      </c>
    </row>
    <row r="160" spans="1:13" ht="27.95" customHeight="1" outlineLevel="1">
      <c r="A160" s="17" t="s">
        <v>636</v>
      </c>
      <c r="B160" s="34" t="s">
        <v>179</v>
      </c>
      <c r="C160" s="126" t="s">
        <v>180</v>
      </c>
      <c r="D160" s="117" t="s">
        <v>586</v>
      </c>
      <c r="E160" s="123" t="s">
        <v>707</v>
      </c>
      <c r="F160" s="36" t="s">
        <v>592</v>
      </c>
      <c r="G160" s="119">
        <v>30</v>
      </c>
      <c r="H160" s="23"/>
      <c r="I160" s="120">
        <f t="shared" si="12"/>
        <v>0</v>
      </c>
      <c r="J160" s="120">
        <f t="shared" si="13"/>
        <v>0</v>
      </c>
    </row>
    <row r="161" spans="1:10" ht="27.95" customHeight="1" outlineLevel="1">
      <c r="A161" s="17" t="s">
        <v>636</v>
      </c>
      <c r="B161" s="34" t="s">
        <v>181</v>
      </c>
      <c r="C161" s="126" t="s">
        <v>182</v>
      </c>
      <c r="D161" s="117" t="s">
        <v>586</v>
      </c>
      <c r="E161" s="123" t="s">
        <v>708</v>
      </c>
      <c r="F161" s="36" t="s">
        <v>592</v>
      </c>
      <c r="G161" s="119">
        <v>20</v>
      </c>
      <c r="H161" s="23"/>
      <c r="I161" s="120">
        <f t="shared" si="12"/>
        <v>0</v>
      </c>
      <c r="J161" s="120">
        <f t="shared" si="13"/>
        <v>0</v>
      </c>
    </row>
    <row r="162" spans="1:10" ht="27.95" customHeight="1" outlineLevel="1">
      <c r="A162" s="17" t="s">
        <v>636</v>
      </c>
      <c r="B162" s="34" t="s">
        <v>183</v>
      </c>
      <c r="C162" s="126" t="s">
        <v>184</v>
      </c>
      <c r="D162" s="117" t="s">
        <v>586</v>
      </c>
      <c r="E162" s="123" t="s">
        <v>709</v>
      </c>
      <c r="F162" s="36" t="s">
        <v>592</v>
      </c>
      <c r="G162" s="119">
        <v>100</v>
      </c>
      <c r="H162" s="23"/>
      <c r="I162" s="120">
        <f t="shared" si="12"/>
        <v>0</v>
      </c>
      <c r="J162" s="120">
        <f t="shared" si="13"/>
        <v>0</v>
      </c>
    </row>
    <row r="163" spans="1:10" ht="12.95" customHeight="1" outlineLevel="1">
      <c r="A163" s="17" t="s">
        <v>636</v>
      </c>
      <c r="B163" s="34" t="s">
        <v>185</v>
      </c>
      <c r="C163" s="126" t="s">
        <v>186</v>
      </c>
      <c r="D163" s="117" t="s">
        <v>586</v>
      </c>
      <c r="E163" s="123" t="s">
        <v>710</v>
      </c>
      <c r="F163" s="36" t="s">
        <v>599</v>
      </c>
      <c r="G163" s="119">
        <v>6</v>
      </c>
      <c r="H163" s="23"/>
      <c r="I163" s="120">
        <f t="shared" si="12"/>
        <v>0</v>
      </c>
      <c r="J163" s="120">
        <f t="shared" si="13"/>
        <v>0</v>
      </c>
    </row>
    <row r="164" spans="1:10" ht="12.75" customHeight="1" outlineLevel="1">
      <c r="A164" s="17" t="s">
        <v>636</v>
      </c>
      <c r="B164" s="34" t="s">
        <v>187</v>
      </c>
      <c r="C164" s="126" t="s">
        <v>188</v>
      </c>
      <c r="D164" s="117" t="s">
        <v>586</v>
      </c>
      <c r="E164" s="123" t="s">
        <v>711</v>
      </c>
      <c r="F164" s="36" t="s">
        <v>599</v>
      </c>
      <c r="G164" s="119">
        <v>4</v>
      </c>
      <c r="H164" s="23"/>
      <c r="I164" s="120">
        <f t="shared" si="12"/>
        <v>0</v>
      </c>
      <c r="J164" s="120">
        <f t="shared" si="13"/>
        <v>0</v>
      </c>
    </row>
    <row r="165" spans="1:10" ht="12.95" customHeight="1" outlineLevel="1">
      <c r="A165" s="17" t="s">
        <v>636</v>
      </c>
      <c r="B165" s="34" t="s">
        <v>189</v>
      </c>
      <c r="C165" s="126" t="s">
        <v>190</v>
      </c>
      <c r="D165" s="117" t="s">
        <v>586</v>
      </c>
      <c r="E165" s="123" t="s">
        <v>712</v>
      </c>
      <c r="F165" s="36" t="s">
        <v>599</v>
      </c>
      <c r="G165" s="119">
        <v>2</v>
      </c>
      <c r="H165" s="23"/>
      <c r="I165" s="120">
        <f t="shared" si="12"/>
        <v>0</v>
      </c>
      <c r="J165" s="120">
        <f t="shared" si="13"/>
        <v>0</v>
      </c>
    </row>
    <row r="166" spans="1:10" ht="12.95" customHeight="1" outlineLevel="1">
      <c r="A166" s="17" t="s">
        <v>643</v>
      </c>
      <c r="B166" s="34" t="s">
        <v>191</v>
      </c>
      <c r="C166" s="149">
        <v>1605073</v>
      </c>
      <c r="D166" s="117" t="s">
        <v>644</v>
      </c>
      <c r="E166" s="123" t="s">
        <v>713</v>
      </c>
      <c r="F166" s="36" t="s">
        <v>656</v>
      </c>
      <c r="G166" s="119">
        <f>5*0.8*0.8</f>
        <v>3.2</v>
      </c>
      <c r="H166" s="23"/>
      <c r="I166" s="120">
        <f t="shared" si="12"/>
        <v>0</v>
      </c>
      <c r="J166" s="120">
        <f t="shared" si="13"/>
        <v>0</v>
      </c>
    </row>
    <row r="167" spans="1:10" ht="25.5" outlineLevel="1">
      <c r="A167" s="17" t="s">
        <v>636</v>
      </c>
      <c r="B167" s="34" t="s">
        <v>192</v>
      </c>
      <c r="C167" s="126" t="s">
        <v>193</v>
      </c>
      <c r="D167" s="117" t="s">
        <v>586</v>
      </c>
      <c r="E167" s="123" t="s">
        <v>714</v>
      </c>
      <c r="F167" s="36" t="s">
        <v>599</v>
      </c>
      <c r="G167" s="119">
        <v>5</v>
      </c>
      <c r="H167" s="23"/>
      <c r="I167" s="120">
        <f t="shared" si="12"/>
        <v>0</v>
      </c>
      <c r="J167" s="120">
        <f t="shared" si="13"/>
        <v>0</v>
      </c>
    </row>
    <row r="168" spans="1:10" outlineLevel="1">
      <c r="A168" s="17" t="s">
        <v>636</v>
      </c>
      <c r="B168" s="34" t="s">
        <v>194</v>
      </c>
      <c r="C168" s="126" t="s">
        <v>195</v>
      </c>
      <c r="D168" s="117" t="s">
        <v>586</v>
      </c>
      <c r="E168" s="123" t="s">
        <v>715</v>
      </c>
      <c r="F168" s="36" t="s">
        <v>599</v>
      </c>
      <c r="G168" s="119">
        <v>2</v>
      </c>
      <c r="H168" s="23"/>
      <c r="I168" s="120">
        <f t="shared" si="12"/>
        <v>0</v>
      </c>
      <c r="J168" s="120">
        <f t="shared" si="13"/>
        <v>0</v>
      </c>
    </row>
    <row r="169" spans="1:10" ht="12.95" customHeight="1" outlineLevel="1">
      <c r="A169" s="17" t="s">
        <v>636</v>
      </c>
      <c r="B169" s="34" t="s">
        <v>196</v>
      </c>
      <c r="C169" s="126" t="s">
        <v>197</v>
      </c>
      <c r="D169" s="117" t="s">
        <v>586</v>
      </c>
      <c r="E169" s="123" t="s">
        <v>716</v>
      </c>
      <c r="F169" s="36" t="s">
        <v>599</v>
      </c>
      <c r="G169" s="119">
        <v>4</v>
      </c>
      <c r="H169" s="23"/>
      <c r="I169" s="120">
        <f t="shared" si="12"/>
        <v>0</v>
      </c>
      <c r="J169" s="120">
        <f t="shared" si="13"/>
        <v>0</v>
      </c>
    </row>
    <row r="170" spans="1:10" ht="12.95" customHeight="1" outlineLevel="1">
      <c r="A170" s="17" t="s">
        <v>636</v>
      </c>
      <c r="B170" s="34" t="s">
        <v>198</v>
      </c>
      <c r="C170" s="126" t="s">
        <v>199</v>
      </c>
      <c r="D170" s="117" t="s">
        <v>586</v>
      </c>
      <c r="E170" s="123" t="s">
        <v>717</v>
      </c>
      <c r="F170" s="36" t="s">
        <v>599</v>
      </c>
      <c r="G170" s="119">
        <v>3</v>
      </c>
      <c r="H170" s="23"/>
      <c r="I170" s="120">
        <f t="shared" si="12"/>
        <v>0</v>
      </c>
      <c r="J170" s="120">
        <f t="shared" si="13"/>
        <v>0</v>
      </c>
    </row>
    <row r="171" spans="1:10" ht="12.95" customHeight="1" outlineLevel="1">
      <c r="A171" s="17" t="s">
        <v>636</v>
      </c>
      <c r="B171" s="34" t="s">
        <v>200</v>
      </c>
      <c r="C171" s="126" t="s">
        <v>201</v>
      </c>
      <c r="D171" s="117" t="s">
        <v>586</v>
      </c>
      <c r="E171" s="118" t="s">
        <v>718</v>
      </c>
      <c r="F171" s="36" t="s">
        <v>599</v>
      </c>
      <c r="G171" s="119">
        <v>9</v>
      </c>
      <c r="H171" s="23"/>
      <c r="I171" s="120">
        <f t="shared" si="12"/>
        <v>0</v>
      </c>
      <c r="J171" s="120">
        <f t="shared" si="13"/>
        <v>0</v>
      </c>
    </row>
    <row r="172" spans="1:10" ht="12.95" customHeight="1" outlineLevel="1">
      <c r="A172" s="17" t="s">
        <v>636</v>
      </c>
      <c r="B172" s="34" t="s">
        <v>202</v>
      </c>
      <c r="C172" s="150" t="s">
        <v>203</v>
      </c>
      <c r="D172" s="117" t="s">
        <v>586</v>
      </c>
      <c r="E172" s="123" t="s">
        <v>719</v>
      </c>
      <c r="F172" s="36" t="s">
        <v>599</v>
      </c>
      <c r="G172" s="119">
        <v>3</v>
      </c>
      <c r="H172" s="23"/>
      <c r="I172" s="120">
        <f t="shared" si="12"/>
        <v>0</v>
      </c>
      <c r="J172" s="120">
        <f t="shared" si="13"/>
        <v>0</v>
      </c>
    </row>
    <row r="173" spans="1:10" ht="12.95" customHeight="1" outlineLevel="1">
      <c r="A173" s="17" t="s">
        <v>636</v>
      </c>
      <c r="B173" s="34" t="s">
        <v>204</v>
      </c>
      <c r="C173" s="126" t="s">
        <v>205</v>
      </c>
      <c r="D173" s="117" t="s">
        <v>586</v>
      </c>
      <c r="E173" s="123" t="s">
        <v>720</v>
      </c>
      <c r="F173" s="36" t="s">
        <v>599</v>
      </c>
      <c r="G173" s="119">
        <v>6</v>
      </c>
      <c r="H173" s="23"/>
      <c r="I173" s="120">
        <f t="shared" si="12"/>
        <v>0</v>
      </c>
      <c r="J173" s="120">
        <f t="shared" si="13"/>
        <v>0</v>
      </c>
    </row>
    <row r="174" spans="1:10" ht="12.95" customHeight="1" outlineLevel="1">
      <c r="A174" s="17" t="s">
        <v>636</v>
      </c>
      <c r="B174" s="34" t="s">
        <v>206</v>
      </c>
      <c r="C174" s="126" t="s">
        <v>207</v>
      </c>
      <c r="D174" s="117" t="s">
        <v>586</v>
      </c>
      <c r="E174" s="123" t="s">
        <v>721</v>
      </c>
      <c r="F174" s="36" t="s">
        <v>599</v>
      </c>
      <c r="G174" s="119">
        <v>6</v>
      </c>
      <c r="H174" s="23"/>
      <c r="I174" s="120">
        <f t="shared" si="12"/>
        <v>0</v>
      </c>
      <c r="J174" s="120">
        <f t="shared" si="13"/>
        <v>0</v>
      </c>
    </row>
    <row r="175" spans="1:10" ht="12.95" customHeight="1" outlineLevel="1">
      <c r="A175" s="17" t="s">
        <v>643</v>
      </c>
      <c r="B175" s="354" t="s">
        <v>208</v>
      </c>
      <c r="C175" s="377">
        <v>816091</v>
      </c>
      <c r="D175" s="363" t="s">
        <v>644</v>
      </c>
      <c r="E175" s="122" t="s">
        <v>722</v>
      </c>
      <c r="F175" s="354" t="s">
        <v>684</v>
      </c>
      <c r="G175" s="367">
        <v>1</v>
      </c>
      <c r="H175" s="359"/>
      <c r="I175" s="344">
        <f t="shared" si="12"/>
        <v>0</v>
      </c>
      <c r="J175" s="344">
        <f t="shared" si="13"/>
        <v>0</v>
      </c>
    </row>
    <row r="176" spans="1:10" ht="25.5" outlineLevel="1">
      <c r="A176" s="17"/>
      <c r="B176" s="355"/>
      <c r="C176" s="378"/>
      <c r="D176" s="364"/>
      <c r="E176" s="123" t="s">
        <v>209</v>
      </c>
      <c r="F176" s="355"/>
      <c r="G176" s="368"/>
      <c r="H176" s="360"/>
      <c r="I176" s="345"/>
      <c r="J176" s="345"/>
    </row>
    <row r="177" spans="1:10" ht="12.95" customHeight="1" outlineLevel="1">
      <c r="A177" s="17" t="s">
        <v>636</v>
      </c>
      <c r="B177" s="34" t="s">
        <v>210</v>
      </c>
      <c r="C177" s="126" t="s">
        <v>211</v>
      </c>
      <c r="D177" s="117" t="s">
        <v>586</v>
      </c>
      <c r="E177" s="123" t="s">
        <v>723</v>
      </c>
      <c r="F177" s="36" t="s">
        <v>599</v>
      </c>
      <c r="G177" s="119">
        <v>5</v>
      </c>
      <c r="H177" s="23"/>
      <c r="I177" s="120">
        <f t="shared" si="12"/>
        <v>0</v>
      </c>
      <c r="J177" s="120">
        <f t="shared" si="13"/>
        <v>0</v>
      </c>
    </row>
    <row r="178" spans="1:10" ht="12.95" customHeight="1" outlineLevel="1">
      <c r="A178" s="17" t="s">
        <v>636</v>
      </c>
      <c r="B178" s="34" t="s">
        <v>212</v>
      </c>
      <c r="C178" s="126" t="s">
        <v>213</v>
      </c>
      <c r="D178" s="117" t="s">
        <v>586</v>
      </c>
      <c r="E178" s="123" t="s">
        <v>724</v>
      </c>
      <c r="F178" s="36" t="s">
        <v>599</v>
      </c>
      <c r="G178" s="119">
        <v>5</v>
      </c>
      <c r="H178" s="23"/>
      <c r="I178" s="120">
        <f t="shared" si="12"/>
        <v>0</v>
      </c>
      <c r="J178" s="120">
        <f t="shared" si="13"/>
        <v>0</v>
      </c>
    </row>
    <row r="179" spans="1:10" ht="12.95" customHeight="1" outlineLevel="1">
      <c r="A179" s="17" t="s">
        <v>636</v>
      </c>
      <c r="B179" s="34" t="s">
        <v>214</v>
      </c>
      <c r="C179" s="127" t="s">
        <v>215</v>
      </c>
      <c r="D179" s="117" t="s">
        <v>586</v>
      </c>
      <c r="E179" s="123" t="s">
        <v>725</v>
      </c>
      <c r="F179" s="36" t="s">
        <v>599</v>
      </c>
      <c r="G179" s="119">
        <v>5</v>
      </c>
      <c r="H179" s="23"/>
      <c r="I179" s="120">
        <f t="shared" si="12"/>
        <v>0</v>
      </c>
      <c r="J179" s="120">
        <f t="shared" si="13"/>
        <v>0</v>
      </c>
    </row>
    <row r="180" spans="1:10" ht="12.95" customHeight="1" outlineLevel="1">
      <c r="A180" s="17" t="s">
        <v>636</v>
      </c>
      <c r="B180" s="34" t="s">
        <v>216</v>
      </c>
      <c r="C180" s="126" t="s">
        <v>217</v>
      </c>
      <c r="D180" s="117" t="s">
        <v>586</v>
      </c>
      <c r="E180" s="123" t="s">
        <v>726</v>
      </c>
      <c r="F180" s="36" t="s">
        <v>599</v>
      </c>
      <c r="G180" s="119">
        <v>1</v>
      </c>
      <c r="H180" s="23"/>
      <c r="I180" s="120">
        <f t="shared" si="12"/>
        <v>0</v>
      </c>
      <c r="J180" s="120">
        <f t="shared" si="13"/>
        <v>0</v>
      </c>
    </row>
    <row r="181" spans="1:10" ht="12.95" customHeight="1" outlineLevel="1">
      <c r="A181" s="17" t="s">
        <v>636</v>
      </c>
      <c r="B181" s="34" t="s">
        <v>218</v>
      </c>
      <c r="C181" s="126" t="s">
        <v>219</v>
      </c>
      <c r="D181" s="117" t="s">
        <v>586</v>
      </c>
      <c r="E181" s="123" t="s">
        <v>727</v>
      </c>
      <c r="F181" s="36" t="s">
        <v>654</v>
      </c>
      <c r="G181" s="119">
        <f>2*0.5*2+1.8*0.6*2+1*0.5+1.1*0.6*2</f>
        <v>5.98</v>
      </c>
      <c r="H181" s="23"/>
      <c r="I181" s="120">
        <f t="shared" si="12"/>
        <v>0</v>
      </c>
      <c r="J181" s="120">
        <f t="shared" si="13"/>
        <v>0</v>
      </c>
    </row>
    <row r="182" spans="1:10" ht="12.95" customHeight="1" outlineLevel="1">
      <c r="A182" s="17" t="s">
        <v>636</v>
      </c>
      <c r="B182" s="34" t="s">
        <v>220</v>
      </c>
      <c r="C182" s="126" t="s">
        <v>221</v>
      </c>
      <c r="D182" s="117" t="s">
        <v>586</v>
      </c>
      <c r="E182" s="123" t="s">
        <v>728</v>
      </c>
      <c r="F182" s="36" t="s">
        <v>599</v>
      </c>
      <c r="G182" s="119">
        <v>2</v>
      </c>
      <c r="H182" s="23"/>
      <c r="I182" s="120">
        <f t="shared" si="12"/>
        <v>0</v>
      </c>
      <c r="J182" s="120">
        <f t="shared" si="13"/>
        <v>0</v>
      </c>
    </row>
    <row r="183" spans="1:10" ht="12.95" customHeight="1" outlineLevel="1">
      <c r="A183" s="17" t="s">
        <v>636</v>
      </c>
      <c r="B183" s="34" t="s">
        <v>222</v>
      </c>
      <c r="C183" s="126" t="s">
        <v>223</v>
      </c>
      <c r="D183" s="117" t="s">
        <v>586</v>
      </c>
      <c r="E183" s="123" t="s">
        <v>729</v>
      </c>
      <c r="F183" s="36" t="s">
        <v>599</v>
      </c>
      <c r="G183" s="119">
        <v>7</v>
      </c>
      <c r="H183" s="23"/>
      <c r="I183" s="120">
        <f t="shared" si="12"/>
        <v>0</v>
      </c>
      <c r="J183" s="120">
        <f t="shared" si="13"/>
        <v>0</v>
      </c>
    </row>
    <row r="184" spans="1:10" ht="12.95" customHeight="1" outlineLevel="1">
      <c r="A184" s="17" t="s">
        <v>636</v>
      </c>
      <c r="B184" s="34" t="s">
        <v>224</v>
      </c>
      <c r="C184" s="126" t="s">
        <v>225</v>
      </c>
      <c r="D184" s="117" t="s">
        <v>586</v>
      </c>
      <c r="E184" s="123" t="s">
        <v>730</v>
      </c>
      <c r="F184" s="36" t="s">
        <v>599</v>
      </c>
      <c r="G184" s="119">
        <v>6</v>
      </c>
      <c r="H184" s="23"/>
      <c r="I184" s="120">
        <f t="shared" si="12"/>
        <v>0</v>
      </c>
      <c r="J184" s="120">
        <f t="shared" si="13"/>
        <v>0</v>
      </c>
    </row>
    <row r="185" spans="1:10" ht="12.95" customHeight="1" outlineLevel="1">
      <c r="A185" s="17" t="s">
        <v>643</v>
      </c>
      <c r="B185" s="34" t="s">
        <v>226</v>
      </c>
      <c r="C185" s="148">
        <v>808047</v>
      </c>
      <c r="D185" s="117" t="s">
        <v>644</v>
      </c>
      <c r="E185" s="123" t="s">
        <v>731</v>
      </c>
      <c r="F185" s="36" t="s">
        <v>685</v>
      </c>
      <c r="G185" s="119">
        <v>2</v>
      </c>
      <c r="H185" s="23"/>
      <c r="I185" s="120">
        <f t="shared" si="12"/>
        <v>0</v>
      </c>
      <c r="J185" s="120">
        <f t="shared" si="13"/>
        <v>0</v>
      </c>
    </row>
    <row r="186" spans="1:10" ht="12.95" customHeight="1" outlineLevel="1">
      <c r="A186" s="17" t="s">
        <v>643</v>
      </c>
      <c r="B186" s="34" t="s">
        <v>227</v>
      </c>
      <c r="C186" s="148">
        <v>808050</v>
      </c>
      <c r="D186" s="117" t="s">
        <v>644</v>
      </c>
      <c r="E186" s="123" t="s">
        <v>732</v>
      </c>
      <c r="F186" s="36" t="s">
        <v>685</v>
      </c>
      <c r="G186" s="119">
        <v>2</v>
      </c>
      <c r="H186" s="23"/>
      <c r="I186" s="120">
        <f t="shared" si="12"/>
        <v>0</v>
      </c>
      <c r="J186" s="120">
        <f t="shared" si="13"/>
        <v>0</v>
      </c>
    </row>
    <row r="187" spans="1:10" ht="12.75" customHeight="1" outlineLevel="1">
      <c r="A187" s="17" t="s">
        <v>643</v>
      </c>
      <c r="B187" s="34" t="s">
        <v>228</v>
      </c>
      <c r="C187" s="137">
        <v>814103</v>
      </c>
      <c r="D187" s="117" t="s">
        <v>644</v>
      </c>
      <c r="E187" s="123" t="s">
        <v>733</v>
      </c>
      <c r="F187" s="36" t="s">
        <v>685</v>
      </c>
      <c r="G187" s="119">
        <v>3</v>
      </c>
      <c r="H187" s="23"/>
      <c r="I187" s="120">
        <f t="shared" si="12"/>
        <v>0</v>
      </c>
      <c r="J187" s="120">
        <f t="shared" si="13"/>
        <v>0</v>
      </c>
    </row>
    <row r="188" spans="1:10" ht="12.95" customHeight="1" outlineLevel="1">
      <c r="A188" s="17" t="s">
        <v>643</v>
      </c>
      <c r="B188" s="34" t="s">
        <v>229</v>
      </c>
      <c r="C188" s="148">
        <v>403002</v>
      </c>
      <c r="D188" s="117" t="s">
        <v>644</v>
      </c>
      <c r="E188" s="123" t="s">
        <v>734</v>
      </c>
      <c r="F188" s="36" t="s">
        <v>683</v>
      </c>
      <c r="G188" s="119">
        <v>2</v>
      </c>
      <c r="H188" s="23"/>
      <c r="I188" s="120">
        <f t="shared" si="12"/>
        <v>0</v>
      </c>
      <c r="J188" s="120">
        <f t="shared" si="13"/>
        <v>0</v>
      </c>
    </row>
    <row r="189" spans="1:10" ht="12.95" customHeight="1" outlineLevel="1">
      <c r="A189" s="17" t="s">
        <v>643</v>
      </c>
      <c r="B189" s="34" t="s">
        <v>230</v>
      </c>
      <c r="C189" s="148">
        <v>403003</v>
      </c>
      <c r="D189" s="117" t="s">
        <v>644</v>
      </c>
      <c r="E189" s="123" t="s">
        <v>735</v>
      </c>
      <c r="F189" s="36" t="s">
        <v>683</v>
      </c>
      <c r="G189" s="119">
        <f>2.65*2</f>
        <v>5.3</v>
      </c>
      <c r="H189" s="23"/>
      <c r="I189" s="120">
        <f t="shared" si="12"/>
        <v>0</v>
      </c>
      <c r="J189" s="120">
        <f t="shared" si="13"/>
        <v>0</v>
      </c>
    </row>
    <row r="190" spans="1:10" ht="12.75" customHeight="1" outlineLevel="1">
      <c r="B190" s="35" t="s">
        <v>50</v>
      </c>
      <c r="C190" s="28"/>
      <c r="D190" s="20"/>
      <c r="E190" s="22"/>
      <c r="F190" s="22"/>
      <c r="G190" s="23"/>
      <c r="H190" s="25"/>
      <c r="I190" s="22"/>
      <c r="J190" s="24">
        <f>SUM(J158:J189)</f>
        <v>0</v>
      </c>
    </row>
    <row r="191" spans="1:10" ht="12.95" customHeight="1">
      <c r="A191" s="16" t="s">
        <v>636</v>
      </c>
      <c r="B191" s="35" t="s">
        <v>231</v>
      </c>
      <c r="C191" s="132">
        <v>900000</v>
      </c>
      <c r="D191" s="114"/>
      <c r="E191" s="115" t="s">
        <v>651</v>
      </c>
      <c r="F191" s="22"/>
      <c r="G191" s="23"/>
      <c r="H191" s="25"/>
      <c r="I191" s="22"/>
      <c r="J191" s="24"/>
    </row>
    <row r="192" spans="1:10" ht="12.95" customHeight="1" outlineLevel="1">
      <c r="A192" s="17" t="s">
        <v>646</v>
      </c>
      <c r="B192" s="34"/>
      <c r="C192" s="37"/>
      <c r="D192" s="117"/>
      <c r="E192" s="38" t="s">
        <v>232</v>
      </c>
      <c r="F192" s="36"/>
      <c r="G192" s="39"/>
      <c r="H192" s="23"/>
      <c r="I192" s="120"/>
      <c r="J192" s="120"/>
    </row>
    <row r="193" spans="1:10" ht="25.5" outlineLevel="1">
      <c r="A193" s="17" t="s">
        <v>636</v>
      </c>
      <c r="B193" s="34" t="s">
        <v>233</v>
      </c>
      <c r="C193" s="37" t="s">
        <v>234</v>
      </c>
      <c r="D193" s="117" t="s">
        <v>586</v>
      </c>
      <c r="E193" s="123" t="s">
        <v>736</v>
      </c>
      <c r="F193" s="36" t="s">
        <v>599</v>
      </c>
      <c r="G193" s="40">
        <v>14</v>
      </c>
      <c r="H193" s="23"/>
      <c r="I193" s="120">
        <f t="shared" ref="I193:I220" si="14">H193*$J$9</f>
        <v>0</v>
      </c>
      <c r="J193" s="120">
        <f t="shared" ref="J193:J220" si="15">ROUND(G193*I193,2)</f>
        <v>0</v>
      </c>
    </row>
    <row r="194" spans="1:10" outlineLevel="1">
      <c r="A194" s="17" t="s">
        <v>636</v>
      </c>
      <c r="B194" s="34" t="s">
        <v>235</v>
      </c>
      <c r="C194" s="37" t="s">
        <v>236</v>
      </c>
      <c r="D194" s="117" t="s">
        <v>586</v>
      </c>
      <c r="E194" s="123" t="s">
        <v>737</v>
      </c>
      <c r="F194" s="36" t="s">
        <v>599</v>
      </c>
      <c r="G194" s="40">
        <v>14</v>
      </c>
      <c r="H194" s="23"/>
      <c r="I194" s="120">
        <f t="shared" si="14"/>
        <v>0</v>
      </c>
      <c r="J194" s="120">
        <f t="shared" si="15"/>
        <v>0</v>
      </c>
    </row>
    <row r="195" spans="1:10" ht="12.95" customHeight="1" outlineLevel="1">
      <c r="A195" s="17" t="s">
        <v>636</v>
      </c>
      <c r="B195" s="34" t="s">
        <v>237</v>
      </c>
      <c r="C195" s="37" t="s">
        <v>238</v>
      </c>
      <c r="D195" s="117" t="s">
        <v>586</v>
      </c>
      <c r="E195" s="123" t="s">
        <v>738</v>
      </c>
      <c r="F195" s="36" t="s">
        <v>599</v>
      </c>
      <c r="G195" s="40">
        <v>14</v>
      </c>
      <c r="H195" s="23"/>
      <c r="I195" s="120">
        <f t="shared" si="14"/>
        <v>0</v>
      </c>
      <c r="J195" s="120">
        <f t="shared" si="15"/>
        <v>0</v>
      </c>
    </row>
    <row r="196" spans="1:10" outlineLevel="1">
      <c r="A196" s="17" t="s">
        <v>636</v>
      </c>
      <c r="B196" s="34" t="s">
        <v>239</v>
      </c>
      <c r="C196" s="37" t="s">
        <v>240</v>
      </c>
      <c r="D196" s="117" t="s">
        <v>586</v>
      </c>
      <c r="E196" s="123" t="s">
        <v>739</v>
      </c>
      <c r="F196" s="36" t="s">
        <v>599</v>
      </c>
      <c r="G196" s="40">
        <v>14</v>
      </c>
      <c r="H196" s="23"/>
      <c r="I196" s="120">
        <f t="shared" si="14"/>
        <v>0</v>
      </c>
      <c r="J196" s="120">
        <f t="shared" si="15"/>
        <v>0</v>
      </c>
    </row>
    <row r="197" spans="1:10" ht="12.95" customHeight="1" outlineLevel="1">
      <c r="A197" s="17" t="s">
        <v>636</v>
      </c>
      <c r="B197" s="34" t="s">
        <v>241</v>
      </c>
      <c r="C197" s="37" t="s">
        <v>242</v>
      </c>
      <c r="D197" s="117" t="s">
        <v>586</v>
      </c>
      <c r="E197" s="123" t="s">
        <v>740</v>
      </c>
      <c r="F197" s="36" t="s">
        <v>599</v>
      </c>
      <c r="G197" s="40">
        <v>14</v>
      </c>
      <c r="H197" s="23"/>
      <c r="I197" s="120">
        <f t="shared" si="14"/>
        <v>0</v>
      </c>
      <c r="J197" s="120">
        <f t="shared" si="15"/>
        <v>0</v>
      </c>
    </row>
    <row r="198" spans="1:10" ht="12.95" customHeight="1" outlineLevel="1">
      <c r="A198" s="17" t="s">
        <v>643</v>
      </c>
      <c r="B198" s="34" t="s">
        <v>243</v>
      </c>
      <c r="C198" s="151">
        <v>906025</v>
      </c>
      <c r="D198" s="117" t="s">
        <v>644</v>
      </c>
      <c r="E198" s="123" t="s">
        <v>741</v>
      </c>
      <c r="F198" s="36" t="s">
        <v>685</v>
      </c>
      <c r="G198" s="40">
        <v>14</v>
      </c>
      <c r="H198" s="23"/>
      <c r="I198" s="120">
        <f t="shared" si="14"/>
        <v>0</v>
      </c>
      <c r="J198" s="120">
        <f t="shared" si="15"/>
        <v>0</v>
      </c>
    </row>
    <row r="199" spans="1:10" outlineLevel="1">
      <c r="A199" s="17" t="s">
        <v>636</v>
      </c>
      <c r="B199" s="34" t="s">
        <v>244</v>
      </c>
      <c r="C199" s="37" t="s">
        <v>245</v>
      </c>
      <c r="D199" s="117" t="s">
        <v>586</v>
      </c>
      <c r="E199" s="123" t="s">
        <v>742</v>
      </c>
      <c r="F199" s="36" t="s">
        <v>599</v>
      </c>
      <c r="G199" s="40">
        <v>12</v>
      </c>
      <c r="H199" s="23"/>
      <c r="I199" s="120">
        <f t="shared" si="14"/>
        <v>0</v>
      </c>
      <c r="J199" s="120">
        <f t="shared" si="15"/>
        <v>0</v>
      </c>
    </row>
    <row r="200" spans="1:10" outlineLevel="1">
      <c r="A200" s="17" t="s">
        <v>636</v>
      </c>
      <c r="B200" s="34" t="s">
        <v>246</v>
      </c>
      <c r="C200" s="37" t="s">
        <v>247</v>
      </c>
      <c r="D200" s="117" t="s">
        <v>586</v>
      </c>
      <c r="E200" s="123" t="s">
        <v>743</v>
      </c>
      <c r="F200" s="36" t="s">
        <v>599</v>
      </c>
      <c r="G200" s="40">
        <v>12</v>
      </c>
      <c r="H200" s="23"/>
      <c r="I200" s="120">
        <f t="shared" si="14"/>
        <v>0</v>
      </c>
      <c r="J200" s="120">
        <f t="shared" si="15"/>
        <v>0</v>
      </c>
    </row>
    <row r="201" spans="1:10" ht="25.5" outlineLevel="1">
      <c r="A201" s="17" t="s">
        <v>636</v>
      </c>
      <c r="B201" s="34" t="s">
        <v>248</v>
      </c>
      <c r="C201" s="41" t="s">
        <v>249</v>
      </c>
      <c r="D201" s="117" t="s">
        <v>586</v>
      </c>
      <c r="E201" s="123" t="s">
        <v>744</v>
      </c>
      <c r="F201" s="36" t="s">
        <v>599</v>
      </c>
      <c r="G201" s="40">
        <v>28</v>
      </c>
      <c r="H201" s="23"/>
      <c r="I201" s="120">
        <f t="shared" si="14"/>
        <v>0</v>
      </c>
      <c r="J201" s="120">
        <f t="shared" si="15"/>
        <v>0</v>
      </c>
    </row>
    <row r="202" spans="1:10" ht="25.5" outlineLevel="1">
      <c r="A202" s="17" t="s">
        <v>636</v>
      </c>
      <c r="B202" s="34" t="s">
        <v>250</v>
      </c>
      <c r="C202" s="41" t="s">
        <v>251</v>
      </c>
      <c r="D202" s="117" t="s">
        <v>586</v>
      </c>
      <c r="E202" s="123" t="s">
        <v>745</v>
      </c>
      <c r="F202" s="36" t="s">
        <v>599</v>
      </c>
      <c r="G202" s="40">
        <v>28</v>
      </c>
      <c r="H202" s="23"/>
      <c r="I202" s="120">
        <f t="shared" si="14"/>
        <v>0</v>
      </c>
      <c r="J202" s="120">
        <f t="shared" si="15"/>
        <v>0</v>
      </c>
    </row>
    <row r="203" spans="1:10" ht="12.95" customHeight="1" outlineLevel="1">
      <c r="A203" s="17" t="s">
        <v>636</v>
      </c>
      <c r="B203" s="34" t="s">
        <v>252</v>
      </c>
      <c r="C203" s="41" t="s">
        <v>253</v>
      </c>
      <c r="D203" s="117" t="s">
        <v>586</v>
      </c>
      <c r="E203" s="123" t="s">
        <v>746</v>
      </c>
      <c r="F203" s="36" t="s">
        <v>599</v>
      </c>
      <c r="G203" s="40">
        <v>56</v>
      </c>
      <c r="H203" s="23"/>
      <c r="I203" s="120">
        <f t="shared" si="14"/>
        <v>0</v>
      </c>
      <c r="J203" s="120">
        <f t="shared" si="15"/>
        <v>0</v>
      </c>
    </row>
    <row r="204" spans="1:10" ht="25.5" outlineLevel="1">
      <c r="A204" s="17" t="s">
        <v>636</v>
      </c>
      <c r="B204" s="34" t="s">
        <v>254</v>
      </c>
      <c r="C204" s="41" t="s">
        <v>255</v>
      </c>
      <c r="D204" s="117" t="s">
        <v>586</v>
      </c>
      <c r="E204" s="123" t="s">
        <v>747</v>
      </c>
      <c r="F204" s="36" t="s">
        <v>599</v>
      </c>
      <c r="G204" s="40">
        <v>4</v>
      </c>
      <c r="H204" s="23"/>
      <c r="I204" s="120">
        <f t="shared" si="14"/>
        <v>0</v>
      </c>
      <c r="J204" s="120">
        <f t="shared" si="15"/>
        <v>0</v>
      </c>
    </row>
    <row r="205" spans="1:10" ht="12.95" customHeight="1" outlineLevel="1">
      <c r="A205" s="17" t="s">
        <v>636</v>
      </c>
      <c r="B205" s="34" t="s">
        <v>256</v>
      </c>
      <c r="C205" s="37" t="s">
        <v>257</v>
      </c>
      <c r="D205" s="117" t="s">
        <v>586</v>
      </c>
      <c r="E205" s="123" t="s">
        <v>748</v>
      </c>
      <c r="F205" s="36" t="s">
        <v>686</v>
      </c>
      <c r="G205" s="40">
        <v>28</v>
      </c>
      <c r="H205" s="23"/>
      <c r="I205" s="120">
        <f t="shared" si="14"/>
        <v>0</v>
      </c>
      <c r="J205" s="120">
        <f t="shared" si="15"/>
        <v>0</v>
      </c>
    </row>
    <row r="206" spans="1:10" ht="12.95" customHeight="1" outlineLevel="1">
      <c r="A206" s="17" t="s">
        <v>636</v>
      </c>
      <c r="B206" s="34" t="s">
        <v>258</v>
      </c>
      <c r="C206" s="37" t="s">
        <v>259</v>
      </c>
      <c r="D206" s="117" t="s">
        <v>586</v>
      </c>
      <c r="E206" s="123" t="s">
        <v>749</v>
      </c>
      <c r="F206" s="36" t="s">
        <v>686</v>
      </c>
      <c r="G206" s="40">
        <v>10</v>
      </c>
      <c r="H206" s="23"/>
      <c r="I206" s="120">
        <f t="shared" si="14"/>
        <v>0</v>
      </c>
      <c r="J206" s="120">
        <f t="shared" si="15"/>
        <v>0</v>
      </c>
    </row>
    <row r="207" spans="1:10" ht="12.95" customHeight="1" outlineLevel="1">
      <c r="A207" s="17" t="s">
        <v>636</v>
      </c>
      <c r="B207" s="34" t="s">
        <v>260</v>
      </c>
      <c r="C207" s="37" t="s">
        <v>261</v>
      </c>
      <c r="D207" s="117" t="s">
        <v>586</v>
      </c>
      <c r="E207" s="123" t="s">
        <v>750</v>
      </c>
      <c r="F207" s="36" t="s">
        <v>686</v>
      </c>
      <c r="G207" s="40">
        <v>1</v>
      </c>
      <c r="H207" s="23"/>
      <c r="I207" s="120">
        <f t="shared" si="14"/>
        <v>0</v>
      </c>
      <c r="J207" s="120">
        <f t="shared" si="15"/>
        <v>0</v>
      </c>
    </row>
    <row r="208" spans="1:10" ht="12.95" customHeight="1" outlineLevel="1">
      <c r="A208" s="17" t="s">
        <v>636</v>
      </c>
      <c r="B208" s="34" t="s">
        <v>262</v>
      </c>
      <c r="C208" s="41" t="s">
        <v>263</v>
      </c>
      <c r="D208" s="117" t="s">
        <v>586</v>
      </c>
      <c r="E208" s="123" t="s">
        <v>751</v>
      </c>
      <c r="F208" s="36" t="s">
        <v>599</v>
      </c>
      <c r="G208" s="40">
        <f>SUM(G205:G207)</f>
        <v>39</v>
      </c>
      <c r="H208" s="23"/>
      <c r="I208" s="120">
        <f t="shared" si="14"/>
        <v>0</v>
      </c>
      <c r="J208" s="120">
        <f t="shared" si="15"/>
        <v>0</v>
      </c>
    </row>
    <row r="209" spans="1:10" ht="12.95" customHeight="1" outlineLevel="1">
      <c r="A209" s="17" t="s">
        <v>636</v>
      </c>
      <c r="B209" s="34" t="s">
        <v>264</v>
      </c>
      <c r="C209" s="41" t="s">
        <v>265</v>
      </c>
      <c r="D209" s="117" t="s">
        <v>586</v>
      </c>
      <c r="E209" s="123" t="s">
        <v>752</v>
      </c>
      <c r="F209" s="36" t="s">
        <v>599</v>
      </c>
      <c r="G209" s="40">
        <f>G193+G201</f>
        <v>42</v>
      </c>
      <c r="H209" s="23"/>
      <c r="I209" s="120">
        <f t="shared" si="14"/>
        <v>0</v>
      </c>
      <c r="J209" s="120">
        <f t="shared" si="15"/>
        <v>0</v>
      </c>
    </row>
    <row r="210" spans="1:10" ht="12.95" customHeight="1" outlineLevel="1">
      <c r="A210" s="17" t="s">
        <v>646</v>
      </c>
      <c r="B210" s="34"/>
      <c r="C210" s="41"/>
      <c r="D210" s="117"/>
      <c r="E210" s="152" t="s">
        <v>266</v>
      </c>
      <c r="F210" s="36"/>
      <c r="G210" s="153"/>
      <c r="H210" s="23"/>
      <c r="I210" s="120"/>
      <c r="J210" s="120"/>
    </row>
    <row r="211" spans="1:10" ht="12.95" customHeight="1" outlineLevel="1">
      <c r="A211" s="17" t="s">
        <v>636</v>
      </c>
      <c r="B211" s="34" t="s">
        <v>267</v>
      </c>
      <c r="C211" s="37" t="s">
        <v>268</v>
      </c>
      <c r="D211" s="117" t="s">
        <v>586</v>
      </c>
      <c r="E211" s="123" t="s">
        <v>753</v>
      </c>
      <c r="F211" s="36" t="s">
        <v>592</v>
      </c>
      <c r="G211" s="40">
        <v>250</v>
      </c>
      <c r="H211" s="23"/>
      <c r="I211" s="120">
        <f t="shared" ref="I211" si="16">H211*$J$9</f>
        <v>0</v>
      </c>
      <c r="J211" s="120">
        <f t="shared" ref="J211" si="17">ROUND(G211*I211,2)</f>
        <v>0</v>
      </c>
    </row>
    <row r="212" spans="1:10" outlineLevel="1">
      <c r="A212" s="17" t="s">
        <v>636</v>
      </c>
      <c r="B212" s="34" t="s">
        <v>269</v>
      </c>
      <c r="C212" s="42" t="s">
        <v>270</v>
      </c>
      <c r="D212" s="117" t="s">
        <v>586</v>
      </c>
      <c r="E212" s="123" t="s">
        <v>754</v>
      </c>
      <c r="F212" s="36" t="s">
        <v>592</v>
      </c>
      <c r="G212" s="40">
        <v>180</v>
      </c>
      <c r="H212" s="23"/>
      <c r="I212" s="120">
        <f t="shared" si="14"/>
        <v>0</v>
      </c>
      <c r="J212" s="120">
        <f t="shared" si="15"/>
        <v>0</v>
      </c>
    </row>
    <row r="213" spans="1:10" ht="12.95" customHeight="1" outlineLevel="1">
      <c r="A213" s="17" t="s">
        <v>636</v>
      </c>
      <c r="B213" s="34" t="s">
        <v>271</v>
      </c>
      <c r="C213" s="125" t="s">
        <v>272</v>
      </c>
      <c r="D213" s="117" t="s">
        <v>586</v>
      </c>
      <c r="E213" s="123" t="s">
        <v>755</v>
      </c>
      <c r="F213" s="36" t="s">
        <v>592</v>
      </c>
      <c r="G213" s="40">
        <v>420</v>
      </c>
      <c r="H213" s="23"/>
      <c r="I213" s="120">
        <f t="shared" si="14"/>
        <v>0</v>
      </c>
      <c r="J213" s="120">
        <f t="shared" si="15"/>
        <v>0</v>
      </c>
    </row>
    <row r="214" spans="1:10" ht="12.95" customHeight="1" outlineLevel="1">
      <c r="A214" s="17" t="s">
        <v>636</v>
      </c>
      <c r="B214" s="34" t="s">
        <v>273</v>
      </c>
      <c r="C214" s="125" t="s">
        <v>274</v>
      </c>
      <c r="D214" s="117" t="s">
        <v>586</v>
      </c>
      <c r="E214" s="123" t="s">
        <v>756</v>
      </c>
      <c r="F214" s="36" t="s">
        <v>592</v>
      </c>
      <c r="G214" s="40">
        <v>350</v>
      </c>
      <c r="H214" s="23"/>
      <c r="I214" s="120">
        <f t="shared" si="14"/>
        <v>0</v>
      </c>
      <c r="J214" s="120">
        <f t="shared" si="15"/>
        <v>0</v>
      </c>
    </row>
    <row r="215" spans="1:10" ht="12.95" customHeight="1" outlineLevel="1">
      <c r="A215" s="17" t="s">
        <v>646</v>
      </c>
      <c r="B215" s="34"/>
      <c r="C215" s="41"/>
      <c r="D215" s="117"/>
      <c r="E215" s="38" t="s">
        <v>275</v>
      </c>
      <c r="F215" s="36"/>
      <c r="G215" s="40"/>
      <c r="H215" s="23"/>
      <c r="I215" s="120"/>
      <c r="J215" s="120"/>
    </row>
    <row r="216" spans="1:10" ht="25.5" outlineLevel="1">
      <c r="A216" s="17" t="s">
        <v>636</v>
      </c>
      <c r="B216" s="34" t="s">
        <v>276</v>
      </c>
      <c r="C216" s="41" t="s">
        <v>277</v>
      </c>
      <c r="D216" s="117" t="s">
        <v>586</v>
      </c>
      <c r="E216" s="123" t="s">
        <v>757</v>
      </c>
      <c r="F216" s="36" t="s">
        <v>599</v>
      </c>
      <c r="G216" s="40">
        <v>1</v>
      </c>
      <c r="H216" s="23"/>
      <c r="I216" s="120">
        <f t="shared" si="14"/>
        <v>0</v>
      </c>
      <c r="J216" s="120">
        <f t="shared" si="15"/>
        <v>0</v>
      </c>
    </row>
    <row r="217" spans="1:10" ht="12.95" customHeight="1" outlineLevel="1">
      <c r="A217" s="17" t="s">
        <v>636</v>
      </c>
      <c r="B217" s="34" t="s">
        <v>278</v>
      </c>
      <c r="C217" s="41" t="s">
        <v>279</v>
      </c>
      <c r="D217" s="117" t="s">
        <v>586</v>
      </c>
      <c r="E217" s="123" t="s">
        <v>758</v>
      </c>
      <c r="F217" s="36" t="s">
        <v>655</v>
      </c>
      <c r="G217" s="40">
        <v>0.5</v>
      </c>
      <c r="H217" s="23"/>
      <c r="I217" s="120">
        <f t="shared" si="14"/>
        <v>0</v>
      </c>
      <c r="J217" s="120">
        <f t="shared" si="15"/>
        <v>0</v>
      </c>
    </row>
    <row r="218" spans="1:10" ht="12.95" customHeight="1" outlineLevel="1">
      <c r="A218" s="17" t="s">
        <v>636</v>
      </c>
      <c r="B218" s="34" t="s">
        <v>280</v>
      </c>
      <c r="C218" s="37" t="s">
        <v>281</v>
      </c>
      <c r="D218" s="117" t="s">
        <v>586</v>
      </c>
      <c r="E218" s="123" t="s">
        <v>759</v>
      </c>
      <c r="F218" s="36" t="s">
        <v>599</v>
      </c>
      <c r="G218" s="40">
        <v>8</v>
      </c>
      <c r="H218" s="23"/>
      <c r="I218" s="120">
        <f t="shared" si="14"/>
        <v>0</v>
      </c>
      <c r="J218" s="120">
        <f t="shared" si="15"/>
        <v>0</v>
      </c>
    </row>
    <row r="219" spans="1:10" ht="12.95" customHeight="1" outlineLevel="1">
      <c r="A219" s="17" t="s">
        <v>636</v>
      </c>
      <c r="B219" s="34" t="s">
        <v>282</v>
      </c>
      <c r="C219" s="37" t="s">
        <v>283</v>
      </c>
      <c r="D219" s="117" t="s">
        <v>586</v>
      </c>
      <c r="E219" s="123" t="s">
        <v>760</v>
      </c>
      <c r="F219" s="36" t="s">
        <v>599</v>
      </c>
      <c r="G219" s="40">
        <v>3</v>
      </c>
      <c r="H219" s="23"/>
      <c r="I219" s="120">
        <f t="shared" si="14"/>
        <v>0</v>
      </c>
      <c r="J219" s="120">
        <f t="shared" si="15"/>
        <v>0</v>
      </c>
    </row>
    <row r="220" spans="1:10" ht="12.95" customHeight="1" outlineLevel="1">
      <c r="A220" s="17" t="s">
        <v>636</v>
      </c>
      <c r="B220" s="34" t="s">
        <v>284</v>
      </c>
      <c r="C220" s="37" t="s">
        <v>285</v>
      </c>
      <c r="D220" s="117" t="s">
        <v>586</v>
      </c>
      <c r="E220" s="123" t="s">
        <v>761</v>
      </c>
      <c r="F220" s="36" t="s">
        <v>599</v>
      </c>
      <c r="G220" s="40">
        <v>1</v>
      </c>
      <c r="H220" s="23"/>
      <c r="I220" s="120">
        <f t="shared" si="14"/>
        <v>0</v>
      </c>
      <c r="J220" s="120">
        <f t="shared" si="15"/>
        <v>0</v>
      </c>
    </row>
    <row r="221" spans="1:10" ht="12.95" customHeight="1" outlineLevel="1">
      <c r="A221" s="17" t="s">
        <v>646</v>
      </c>
      <c r="B221" s="34"/>
      <c r="C221" s="37"/>
      <c r="D221" s="117"/>
      <c r="E221" s="43" t="s">
        <v>286</v>
      </c>
      <c r="F221" s="36"/>
      <c r="G221" s="39"/>
      <c r="H221" s="23"/>
      <c r="I221" s="120"/>
      <c r="J221" s="120"/>
    </row>
    <row r="222" spans="1:10" ht="12.95" customHeight="1" outlineLevel="1">
      <c r="A222" s="17" t="s">
        <v>636</v>
      </c>
      <c r="B222" s="34" t="s">
        <v>287</v>
      </c>
      <c r="C222" s="37" t="s">
        <v>288</v>
      </c>
      <c r="D222" s="117" t="s">
        <v>586</v>
      </c>
      <c r="E222" s="123" t="s">
        <v>762</v>
      </c>
      <c r="F222" s="36" t="s">
        <v>599</v>
      </c>
      <c r="G222" s="40">
        <v>3</v>
      </c>
      <c r="H222" s="23"/>
      <c r="I222" s="120">
        <f t="shared" ref="I222:I225" si="18">H222*$J$9</f>
        <v>0</v>
      </c>
      <c r="J222" s="120">
        <f t="shared" ref="J222:J225" si="19">ROUND(G222*I222,2)</f>
        <v>0</v>
      </c>
    </row>
    <row r="223" spans="1:10" ht="12.95" customHeight="1" outlineLevel="1">
      <c r="A223" s="17" t="s">
        <v>636</v>
      </c>
      <c r="B223" s="34" t="s">
        <v>289</v>
      </c>
      <c r="C223" s="41" t="s">
        <v>263</v>
      </c>
      <c r="D223" s="117" t="s">
        <v>586</v>
      </c>
      <c r="E223" s="123" t="s">
        <v>751</v>
      </c>
      <c r="F223" s="36" t="s">
        <v>599</v>
      </c>
      <c r="G223" s="40">
        <v>3</v>
      </c>
      <c r="H223" s="23"/>
      <c r="I223" s="120">
        <f t="shared" si="18"/>
        <v>0</v>
      </c>
      <c r="J223" s="120">
        <f t="shared" si="19"/>
        <v>0</v>
      </c>
    </row>
    <row r="224" spans="1:10" ht="12.95" customHeight="1" outlineLevel="1">
      <c r="A224" s="17" t="s">
        <v>636</v>
      </c>
      <c r="B224" s="34" t="s">
        <v>290</v>
      </c>
      <c r="C224" s="37" t="s">
        <v>291</v>
      </c>
      <c r="D224" s="117" t="s">
        <v>586</v>
      </c>
      <c r="E224" s="123" t="s">
        <v>763</v>
      </c>
      <c r="F224" s="36" t="s">
        <v>592</v>
      </c>
      <c r="G224" s="40">
        <v>30</v>
      </c>
      <c r="H224" s="23"/>
      <c r="I224" s="120">
        <f t="shared" si="18"/>
        <v>0</v>
      </c>
      <c r="J224" s="120">
        <f t="shared" si="19"/>
        <v>0</v>
      </c>
    </row>
    <row r="225" spans="1:10" ht="12.95" customHeight="1" outlineLevel="1">
      <c r="A225" s="17" t="s">
        <v>636</v>
      </c>
      <c r="B225" s="34" t="s">
        <v>292</v>
      </c>
      <c r="C225" s="37" t="s">
        <v>293</v>
      </c>
      <c r="D225" s="117" t="s">
        <v>586</v>
      </c>
      <c r="E225" s="123" t="s">
        <v>764</v>
      </c>
      <c r="F225" s="36" t="s">
        <v>592</v>
      </c>
      <c r="G225" s="40">
        <v>30</v>
      </c>
      <c r="H225" s="23"/>
      <c r="I225" s="120">
        <f t="shared" si="18"/>
        <v>0</v>
      </c>
      <c r="J225" s="120">
        <f t="shared" si="19"/>
        <v>0</v>
      </c>
    </row>
    <row r="226" spans="1:10" ht="12.75" customHeight="1" outlineLevel="1">
      <c r="B226" s="35" t="s">
        <v>50</v>
      </c>
      <c r="C226" s="28"/>
      <c r="D226" s="20"/>
      <c r="E226" s="22"/>
      <c r="F226" s="22"/>
      <c r="G226" s="23"/>
      <c r="H226" s="25"/>
      <c r="I226" s="22"/>
      <c r="J226" s="24">
        <f>SUM(J192:J225)</f>
        <v>0</v>
      </c>
    </row>
    <row r="227" spans="1:10" ht="12.95" customHeight="1">
      <c r="A227" s="16" t="s">
        <v>636</v>
      </c>
      <c r="B227" s="35" t="s">
        <v>294</v>
      </c>
      <c r="C227" s="132">
        <v>1100000</v>
      </c>
      <c r="D227" s="114"/>
      <c r="E227" s="115" t="s">
        <v>647</v>
      </c>
      <c r="F227" s="22"/>
      <c r="G227" s="23"/>
      <c r="H227" s="25"/>
      <c r="I227" s="22"/>
      <c r="J227" s="24"/>
    </row>
    <row r="228" spans="1:10" ht="12.95" customHeight="1" outlineLevel="1">
      <c r="A228" s="17" t="s">
        <v>636</v>
      </c>
      <c r="B228" s="34" t="s">
        <v>295</v>
      </c>
      <c r="C228" s="126" t="s">
        <v>87</v>
      </c>
      <c r="D228" s="117" t="s">
        <v>586</v>
      </c>
      <c r="E228" s="123" t="s">
        <v>657</v>
      </c>
      <c r="F228" s="36" t="s">
        <v>32</v>
      </c>
      <c r="G228" s="119">
        <v>1.7107200000000002</v>
      </c>
      <c r="H228" s="23"/>
      <c r="I228" s="120">
        <f>H228*$J$9</f>
        <v>0</v>
      </c>
      <c r="J228" s="120">
        <f>ROUND(G228*I228,2)</f>
        <v>0</v>
      </c>
    </row>
    <row r="229" spans="1:10" outlineLevel="1">
      <c r="A229" s="17" t="s">
        <v>636</v>
      </c>
      <c r="B229" s="34" t="s">
        <v>296</v>
      </c>
      <c r="C229" s="126" t="s">
        <v>89</v>
      </c>
      <c r="D229" s="117" t="s">
        <v>586</v>
      </c>
      <c r="E229" s="123" t="s">
        <v>658</v>
      </c>
      <c r="F229" s="36" t="s">
        <v>654</v>
      </c>
      <c r="G229" s="119">
        <v>57.024000000000008</v>
      </c>
      <c r="H229" s="23"/>
      <c r="I229" s="120">
        <f>H229*$J$9</f>
        <v>0</v>
      </c>
      <c r="J229" s="120">
        <f>ROUND(G229*I229,2)</f>
        <v>0</v>
      </c>
    </row>
    <row r="230" spans="1:10" ht="12.75" customHeight="1" outlineLevel="1">
      <c r="B230" s="35" t="s">
        <v>50</v>
      </c>
      <c r="C230" s="28"/>
      <c r="D230" s="20"/>
      <c r="E230" s="22"/>
      <c r="F230" s="22"/>
      <c r="G230" s="23"/>
      <c r="H230" s="25"/>
      <c r="I230" s="22"/>
      <c r="J230" s="24">
        <f>SUM(J228:J229)</f>
        <v>0</v>
      </c>
    </row>
    <row r="231" spans="1:10" ht="12.95" customHeight="1">
      <c r="A231" s="16" t="s">
        <v>636</v>
      </c>
      <c r="B231" s="35" t="s">
        <v>297</v>
      </c>
      <c r="C231" s="28">
        <v>1200000</v>
      </c>
      <c r="D231" s="114"/>
      <c r="E231" s="115" t="s">
        <v>641</v>
      </c>
      <c r="F231" s="22"/>
      <c r="G231" s="23"/>
      <c r="H231" s="25"/>
      <c r="I231" s="22"/>
      <c r="J231" s="24"/>
    </row>
    <row r="232" spans="1:10" ht="12.95" customHeight="1" outlineLevel="1">
      <c r="A232" s="17" t="s">
        <v>636</v>
      </c>
      <c r="B232" s="34" t="s">
        <v>298</v>
      </c>
      <c r="C232" s="126" t="s">
        <v>67</v>
      </c>
      <c r="D232" s="117" t="s">
        <v>586</v>
      </c>
      <c r="E232" s="123" t="s">
        <v>675</v>
      </c>
      <c r="F232" s="36" t="s">
        <v>654</v>
      </c>
      <c r="G232" s="119">
        <f>(G141+G142)*2+G136</f>
        <v>1183.6199999999999</v>
      </c>
      <c r="H232" s="23"/>
      <c r="I232" s="120">
        <f>H232*$J$9</f>
        <v>0</v>
      </c>
      <c r="J232" s="120">
        <f>ROUND(G232*I232,2)</f>
        <v>0</v>
      </c>
    </row>
    <row r="233" spans="1:10" ht="12.95" customHeight="1" outlineLevel="1">
      <c r="A233" s="17" t="s">
        <v>636</v>
      </c>
      <c r="B233" s="34" t="s">
        <v>299</v>
      </c>
      <c r="C233" s="126" t="s">
        <v>300</v>
      </c>
      <c r="D233" s="117" t="s">
        <v>586</v>
      </c>
      <c r="E233" s="123" t="s">
        <v>765</v>
      </c>
      <c r="F233" s="36" t="s">
        <v>654</v>
      </c>
      <c r="G233" s="119">
        <f>G232-G234</f>
        <v>1015.06</v>
      </c>
      <c r="H233" s="23"/>
      <c r="I233" s="120">
        <f>H233*$J$9</f>
        <v>0</v>
      </c>
      <c r="J233" s="120">
        <f>ROUND(G233*I233,2)</f>
        <v>0</v>
      </c>
    </row>
    <row r="234" spans="1:10" outlineLevel="1">
      <c r="A234" s="17" t="s">
        <v>636</v>
      </c>
      <c r="B234" s="34" t="s">
        <v>301</v>
      </c>
      <c r="C234" s="126" t="s">
        <v>69</v>
      </c>
      <c r="D234" s="117" t="s">
        <v>586</v>
      </c>
      <c r="E234" s="123" t="s">
        <v>676</v>
      </c>
      <c r="F234" s="36" t="s">
        <v>654</v>
      </c>
      <c r="G234" s="119">
        <f>G235</f>
        <v>168.55999999999997</v>
      </c>
      <c r="H234" s="23"/>
      <c r="I234" s="120">
        <f>H234*$J$9</f>
        <v>0</v>
      </c>
      <c r="J234" s="120">
        <f>ROUND(G234*I234,2)</f>
        <v>0</v>
      </c>
    </row>
    <row r="235" spans="1:10" ht="25.5" outlineLevel="1">
      <c r="A235" s="17" t="s">
        <v>636</v>
      </c>
      <c r="B235" s="34" t="s">
        <v>302</v>
      </c>
      <c r="C235" s="126" t="s">
        <v>303</v>
      </c>
      <c r="D235" s="117" t="s">
        <v>586</v>
      </c>
      <c r="E235" s="123" t="s">
        <v>766</v>
      </c>
      <c r="F235" s="36" t="s">
        <v>654</v>
      </c>
      <c r="G235" s="119">
        <f>(4*3.75+2*2.5+2.65*4+1.5*2+1.1*4+2.25+2.65+2.25*4+1.5*2+2.65*2)*2.8</f>
        <v>168.55999999999997</v>
      </c>
      <c r="H235" s="23"/>
      <c r="I235" s="120">
        <f>H235*$J$9</f>
        <v>0</v>
      </c>
      <c r="J235" s="120">
        <f>ROUND(G235*I235,2)</f>
        <v>0</v>
      </c>
    </row>
    <row r="236" spans="1:10" outlineLevel="1">
      <c r="A236" s="17" t="s">
        <v>636</v>
      </c>
      <c r="B236" s="34" t="s">
        <v>304</v>
      </c>
      <c r="C236" s="126" t="s">
        <v>305</v>
      </c>
      <c r="D236" s="117" t="s">
        <v>586</v>
      </c>
      <c r="E236" s="123" t="s">
        <v>767</v>
      </c>
      <c r="F236" s="36" t="s">
        <v>654</v>
      </c>
      <c r="G236" s="119">
        <f>G235</f>
        <v>168.55999999999997</v>
      </c>
      <c r="H236" s="23"/>
      <c r="I236" s="120">
        <f>H236*$J$9</f>
        <v>0</v>
      </c>
      <c r="J236" s="120">
        <f>ROUND(G236*I236,2)</f>
        <v>0</v>
      </c>
    </row>
    <row r="237" spans="1:10" ht="12.75" customHeight="1" outlineLevel="1">
      <c r="B237" s="35" t="s">
        <v>50</v>
      </c>
      <c r="C237" s="28"/>
      <c r="D237" s="20"/>
      <c r="E237" s="22"/>
      <c r="F237" s="22"/>
      <c r="G237" s="23"/>
      <c r="H237" s="25"/>
      <c r="I237" s="22"/>
      <c r="J237" s="24">
        <f>SUM(J232:J236)</f>
        <v>0</v>
      </c>
    </row>
    <row r="238" spans="1:10" ht="12.95" customHeight="1">
      <c r="A238" s="16" t="s">
        <v>636</v>
      </c>
      <c r="B238" s="35" t="s">
        <v>306</v>
      </c>
      <c r="C238" s="154">
        <v>1300000</v>
      </c>
      <c r="D238" s="114"/>
      <c r="E238" s="115" t="s">
        <v>642</v>
      </c>
      <c r="F238" s="22"/>
      <c r="G238" s="23"/>
      <c r="H238" s="25"/>
      <c r="I238" s="22"/>
      <c r="J238" s="24"/>
    </row>
    <row r="239" spans="1:10" ht="12.95" customHeight="1" outlineLevel="1">
      <c r="A239" s="17" t="s">
        <v>643</v>
      </c>
      <c r="B239" s="34" t="s">
        <v>307</v>
      </c>
      <c r="C239" s="137">
        <v>106001</v>
      </c>
      <c r="D239" s="117" t="s">
        <v>644</v>
      </c>
      <c r="E239" s="123" t="s">
        <v>677</v>
      </c>
      <c r="F239" s="36" t="s">
        <v>656</v>
      </c>
      <c r="G239" s="119">
        <f>G243</f>
        <v>163.28749999999999</v>
      </c>
      <c r="H239" s="23"/>
      <c r="I239" s="120">
        <f t="shared" ref="I239:I250" si="20">H239*$J$9</f>
        <v>0</v>
      </c>
      <c r="J239" s="120">
        <f t="shared" ref="J239:J250" si="21">ROUND(G239*I239,2)</f>
        <v>0</v>
      </c>
    </row>
    <row r="240" spans="1:10" ht="12.95" customHeight="1" outlineLevel="1">
      <c r="A240" s="17" t="s">
        <v>636</v>
      </c>
      <c r="B240" s="34" t="s">
        <v>308</v>
      </c>
      <c r="C240" s="126" t="s">
        <v>49</v>
      </c>
      <c r="D240" s="117" t="s">
        <v>586</v>
      </c>
      <c r="E240" s="123" t="s">
        <v>671</v>
      </c>
      <c r="F240" s="36" t="s">
        <v>32</v>
      </c>
      <c r="G240" s="119">
        <f>G239*0.05+887*0.03</f>
        <v>34.774374999999999</v>
      </c>
      <c r="H240" s="23"/>
      <c r="I240" s="120">
        <f t="shared" si="20"/>
        <v>0</v>
      </c>
      <c r="J240" s="120">
        <f t="shared" si="21"/>
        <v>0</v>
      </c>
    </row>
    <row r="241" spans="1:10" ht="12.95" customHeight="1" outlineLevel="1">
      <c r="A241" s="17" t="s">
        <v>636</v>
      </c>
      <c r="B241" s="34" t="s">
        <v>309</v>
      </c>
      <c r="C241" s="126" t="s">
        <v>74</v>
      </c>
      <c r="D241" s="117" t="s">
        <v>586</v>
      </c>
      <c r="E241" s="123" t="s">
        <v>678</v>
      </c>
      <c r="F241" s="36" t="s">
        <v>32</v>
      </c>
      <c r="G241" s="119">
        <f>G239*0.07</f>
        <v>11.430125</v>
      </c>
      <c r="H241" s="23"/>
      <c r="I241" s="120">
        <f t="shared" si="20"/>
        <v>0</v>
      </c>
      <c r="J241" s="120">
        <f t="shared" si="21"/>
        <v>0</v>
      </c>
    </row>
    <row r="242" spans="1:10" ht="12.95" customHeight="1" outlineLevel="1">
      <c r="A242" s="17" t="s">
        <v>636</v>
      </c>
      <c r="B242" s="34" t="s">
        <v>310</v>
      </c>
      <c r="C242" s="126" t="s">
        <v>311</v>
      </c>
      <c r="D242" s="117" t="s">
        <v>586</v>
      </c>
      <c r="E242" s="123" t="s">
        <v>768</v>
      </c>
      <c r="F242" s="36" t="s">
        <v>654</v>
      </c>
      <c r="G242" s="119">
        <f>G239</f>
        <v>163.28749999999999</v>
      </c>
      <c r="H242" s="23"/>
      <c r="I242" s="120">
        <f t="shared" si="20"/>
        <v>0</v>
      </c>
      <c r="J242" s="120">
        <f t="shared" si="21"/>
        <v>0</v>
      </c>
    </row>
    <row r="243" spans="1:10" ht="12.95" customHeight="1" outlineLevel="1">
      <c r="A243" s="17" t="s">
        <v>643</v>
      </c>
      <c r="B243" s="34" t="s">
        <v>312</v>
      </c>
      <c r="C243" s="148">
        <v>1302034</v>
      </c>
      <c r="D243" s="117" t="s">
        <v>644</v>
      </c>
      <c r="E243" s="123" t="s">
        <v>769</v>
      </c>
      <c r="F243" s="36" t="s">
        <v>656</v>
      </c>
      <c r="G243" s="119">
        <v>163.28749999999999</v>
      </c>
      <c r="H243" s="23"/>
      <c r="I243" s="120">
        <f t="shared" si="20"/>
        <v>0</v>
      </c>
      <c r="J243" s="120">
        <f t="shared" si="21"/>
        <v>0</v>
      </c>
    </row>
    <row r="244" spans="1:10" ht="12.95" customHeight="1" outlineLevel="1">
      <c r="A244" s="17" t="s">
        <v>643</v>
      </c>
      <c r="B244" s="34" t="s">
        <v>313</v>
      </c>
      <c r="C244" s="148">
        <v>1305020</v>
      </c>
      <c r="D244" s="117" t="s">
        <v>644</v>
      </c>
      <c r="E244" s="123" t="s">
        <v>770</v>
      </c>
      <c r="F244" s="36" t="s">
        <v>683</v>
      </c>
      <c r="G244" s="119">
        <f>6*7.75+2.65*2+2.25*6+4.35*2</f>
        <v>74</v>
      </c>
      <c r="H244" s="23"/>
      <c r="I244" s="120">
        <f t="shared" si="20"/>
        <v>0</v>
      </c>
      <c r="J244" s="120">
        <f t="shared" si="21"/>
        <v>0</v>
      </c>
    </row>
    <row r="245" spans="1:10" ht="12.95" customHeight="1" outlineLevel="1">
      <c r="A245" s="17" t="s">
        <v>643</v>
      </c>
      <c r="B245" s="34" t="s">
        <v>314</v>
      </c>
      <c r="C245" s="148">
        <v>1302052</v>
      </c>
      <c r="D245" s="117" t="s">
        <v>644</v>
      </c>
      <c r="E245" s="123" t="s">
        <v>771</v>
      </c>
      <c r="F245" s="36" t="s">
        <v>656</v>
      </c>
      <c r="G245" s="119">
        <f>G243+G244*0.1</f>
        <v>170.6875</v>
      </c>
      <c r="H245" s="23"/>
      <c r="I245" s="120">
        <f t="shared" si="20"/>
        <v>0</v>
      </c>
      <c r="J245" s="120">
        <f t="shared" si="21"/>
        <v>0</v>
      </c>
    </row>
    <row r="246" spans="1:10" ht="12.75" customHeight="1" outlineLevel="1">
      <c r="A246" s="17" t="s">
        <v>636</v>
      </c>
      <c r="B246" s="373" t="s">
        <v>315</v>
      </c>
      <c r="C246" s="356" t="s">
        <v>316</v>
      </c>
      <c r="D246" s="363" t="s">
        <v>586</v>
      </c>
      <c r="E246" s="122" t="s">
        <v>772</v>
      </c>
      <c r="F246" s="354" t="s">
        <v>592</v>
      </c>
      <c r="G246" s="367">
        <f>5*6+2.5*6+1.5*2+2.65*2+0.85*7</f>
        <v>59.25</v>
      </c>
      <c r="H246" s="359"/>
      <c r="I246" s="344">
        <f t="shared" si="20"/>
        <v>0</v>
      </c>
      <c r="J246" s="344">
        <f t="shared" si="21"/>
        <v>0</v>
      </c>
    </row>
    <row r="247" spans="1:10" ht="15.75" customHeight="1" outlineLevel="1">
      <c r="A247" s="17" t="s">
        <v>646</v>
      </c>
      <c r="B247" s="374"/>
      <c r="C247" s="356"/>
      <c r="D247" s="364"/>
      <c r="E247" s="123" t="s">
        <v>317</v>
      </c>
      <c r="F247" s="355"/>
      <c r="G247" s="368"/>
      <c r="H247" s="360"/>
      <c r="I247" s="345"/>
      <c r="J247" s="345"/>
    </row>
    <row r="248" spans="1:10" ht="12.95" customHeight="1" outlineLevel="1">
      <c r="A248" s="17" t="s">
        <v>636</v>
      </c>
      <c r="B248" s="354" t="s">
        <v>318</v>
      </c>
      <c r="C248" s="361" t="s">
        <v>74</v>
      </c>
      <c r="D248" s="363" t="s">
        <v>586</v>
      </c>
      <c r="E248" s="122" t="s">
        <v>678</v>
      </c>
      <c r="F248" s="365" t="s">
        <v>32</v>
      </c>
      <c r="G248" s="359">
        <f>(845+42)*0.08</f>
        <v>70.960000000000008</v>
      </c>
      <c r="H248" s="359"/>
      <c r="I248" s="344">
        <f t="shared" ref="I248" si="22">H248*$J$9</f>
        <v>0</v>
      </c>
      <c r="J248" s="344">
        <f t="shared" ref="J248" si="23">ROUND(G248*I248,2)</f>
        <v>0</v>
      </c>
    </row>
    <row r="249" spans="1:10" ht="25.5" outlineLevel="1">
      <c r="A249" s="17" t="s">
        <v>646</v>
      </c>
      <c r="B249" s="355"/>
      <c r="C249" s="375"/>
      <c r="D249" s="364"/>
      <c r="E249" s="123" t="s">
        <v>319</v>
      </c>
      <c r="F249" s="366"/>
      <c r="G249" s="360"/>
      <c r="H249" s="360"/>
      <c r="I249" s="345"/>
      <c r="J249" s="345"/>
    </row>
    <row r="250" spans="1:10" ht="12.95" customHeight="1" outlineLevel="1">
      <c r="A250" s="17" t="s">
        <v>636</v>
      </c>
      <c r="B250" s="34" t="s">
        <v>320</v>
      </c>
      <c r="C250" s="126" t="s">
        <v>79</v>
      </c>
      <c r="D250" s="117" t="s">
        <v>586</v>
      </c>
      <c r="E250" s="123" t="s">
        <v>680</v>
      </c>
      <c r="F250" s="36" t="s">
        <v>654</v>
      </c>
      <c r="G250" s="119">
        <v>500</v>
      </c>
      <c r="H250" s="23"/>
      <c r="I250" s="120">
        <f t="shared" si="20"/>
        <v>0</v>
      </c>
      <c r="J250" s="120">
        <f t="shared" si="21"/>
        <v>0</v>
      </c>
    </row>
    <row r="251" spans="1:10" ht="12.95" customHeight="1" outlineLevel="1">
      <c r="B251" s="35" t="s">
        <v>36</v>
      </c>
      <c r="C251" s="155"/>
      <c r="D251" s="20"/>
      <c r="E251" s="22"/>
      <c r="F251" s="22"/>
      <c r="G251" s="23"/>
      <c r="H251" s="25"/>
      <c r="I251" s="22"/>
      <c r="J251" s="24">
        <f>SUM(J239:J250)</f>
        <v>0</v>
      </c>
    </row>
    <row r="252" spans="1:10" ht="12.95" customHeight="1">
      <c r="A252" s="16" t="s">
        <v>636</v>
      </c>
      <c r="B252" s="35" t="s">
        <v>321</v>
      </c>
      <c r="C252" s="28">
        <v>1400000</v>
      </c>
      <c r="D252" s="114"/>
      <c r="E252" s="115" t="s">
        <v>652</v>
      </c>
      <c r="F252" s="22"/>
      <c r="G252" s="23"/>
      <c r="H252" s="25"/>
      <c r="I252" s="22"/>
      <c r="J252" s="24"/>
    </row>
    <row r="253" spans="1:10" ht="12.95" customHeight="1" outlineLevel="1">
      <c r="A253" s="17" t="s">
        <v>636</v>
      </c>
      <c r="B253" s="34" t="s">
        <v>322</v>
      </c>
      <c r="C253" s="127" t="s">
        <v>323</v>
      </c>
      <c r="D253" s="117" t="s">
        <v>586</v>
      </c>
      <c r="E253" s="123" t="s">
        <v>773</v>
      </c>
      <c r="F253" s="36" t="s">
        <v>654</v>
      </c>
      <c r="G253" s="119">
        <f>6*5*2.8+2.5*2*1.8+1.65*2*1.8+1.5*0.6*2+2.65*2*0.6+2.25*0.6*2+0.9*2.1*2</f>
        <v>110.39999999999999</v>
      </c>
      <c r="H253" s="23"/>
      <c r="I253" s="120">
        <f t="shared" ref="I253:I261" si="24">H253*$J$9</f>
        <v>0</v>
      </c>
      <c r="J253" s="120">
        <f t="shared" ref="J253:J261" si="25">ROUND(G253*I253,2)</f>
        <v>0</v>
      </c>
    </row>
    <row r="254" spans="1:10" ht="12.95" customHeight="1" outlineLevel="1">
      <c r="A254" s="17" t="s">
        <v>636</v>
      </c>
      <c r="B254" s="34" t="s">
        <v>324</v>
      </c>
      <c r="C254" s="127" t="s">
        <v>325</v>
      </c>
      <c r="D254" s="117" t="s">
        <v>586</v>
      </c>
      <c r="E254" s="123" t="s">
        <v>774</v>
      </c>
      <c r="F254" s="36" t="s">
        <v>599</v>
      </c>
      <c r="G254" s="119">
        <v>6</v>
      </c>
      <c r="H254" s="23"/>
      <c r="I254" s="120">
        <f t="shared" si="24"/>
        <v>0</v>
      </c>
      <c r="J254" s="120">
        <f t="shared" si="25"/>
        <v>0</v>
      </c>
    </row>
    <row r="255" spans="1:10" ht="12.95" customHeight="1" outlineLevel="1">
      <c r="A255" s="17" t="s">
        <v>636</v>
      </c>
      <c r="B255" s="34" t="s">
        <v>326</v>
      </c>
      <c r="C255" s="127" t="s">
        <v>327</v>
      </c>
      <c r="D255" s="117" t="s">
        <v>586</v>
      </c>
      <c r="E255" s="123" t="s">
        <v>775</v>
      </c>
      <c r="F255" s="36" t="s">
        <v>599</v>
      </c>
      <c r="G255" s="119">
        <v>6</v>
      </c>
      <c r="H255" s="23"/>
      <c r="I255" s="120">
        <f t="shared" si="24"/>
        <v>0</v>
      </c>
      <c r="J255" s="120">
        <f t="shared" si="25"/>
        <v>0</v>
      </c>
    </row>
    <row r="256" spans="1:10" outlineLevel="1">
      <c r="A256" s="17" t="s">
        <v>636</v>
      </c>
      <c r="B256" s="34" t="s">
        <v>328</v>
      </c>
      <c r="C256" s="127" t="s">
        <v>329</v>
      </c>
      <c r="D256" s="117" t="s">
        <v>586</v>
      </c>
      <c r="E256" s="123" t="s">
        <v>776</v>
      </c>
      <c r="F256" s="36" t="s">
        <v>599</v>
      </c>
      <c r="G256" s="119">
        <v>6</v>
      </c>
      <c r="H256" s="23"/>
      <c r="I256" s="120">
        <f t="shared" si="24"/>
        <v>0</v>
      </c>
      <c r="J256" s="120">
        <f t="shared" si="25"/>
        <v>0</v>
      </c>
    </row>
    <row r="257" spans="1:10" ht="12.95" customHeight="1" outlineLevel="1">
      <c r="A257" s="17" t="s">
        <v>636</v>
      </c>
      <c r="B257" s="34" t="s">
        <v>330</v>
      </c>
      <c r="C257" s="127" t="s">
        <v>331</v>
      </c>
      <c r="D257" s="117" t="s">
        <v>586</v>
      </c>
      <c r="E257" s="123" t="s">
        <v>777</v>
      </c>
      <c r="F257" s="36" t="s">
        <v>599</v>
      </c>
      <c r="G257" s="119">
        <v>6</v>
      </c>
      <c r="H257" s="23"/>
      <c r="I257" s="120">
        <f t="shared" si="24"/>
        <v>0</v>
      </c>
      <c r="J257" s="120">
        <f t="shared" si="25"/>
        <v>0</v>
      </c>
    </row>
    <row r="258" spans="1:10" ht="12.95" customHeight="1" outlineLevel="1">
      <c r="A258" s="17" t="s">
        <v>636</v>
      </c>
      <c r="B258" s="34" t="s">
        <v>332</v>
      </c>
      <c r="C258" s="127" t="s">
        <v>333</v>
      </c>
      <c r="D258" s="117" t="s">
        <v>586</v>
      </c>
      <c r="E258" s="123" t="s">
        <v>778</v>
      </c>
      <c r="F258" s="36" t="s">
        <v>599</v>
      </c>
      <c r="G258" s="119">
        <v>6</v>
      </c>
      <c r="H258" s="23"/>
      <c r="I258" s="120">
        <f t="shared" si="24"/>
        <v>0</v>
      </c>
      <c r="J258" s="120">
        <f t="shared" si="25"/>
        <v>0</v>
      </c>
    </row>
    <row r="259" spans="1:10" ht="12.95" customHeight="1" outlineLevel="1">
      <c r="A259" s="17" t="s">
        <v>636</v>
      </c>
      <c r="B259" s="34" t="s">
        <v>334</v>
      </c>
      <c r="C259" s="127" t="s">
        <v>335</v>
      </c>
      <c r="D259" s="117" t="s">
        <v>586</v>
      </c>
      <c r="E259" s="123" t="s">
        <v>779</v>
      </c>
      <c r="F259" s="36" t="s">
        <v>599</v>
      </c>
      <c r="G259" s="119">
        <v>2</v>
      </c>
      <c r="H259" s="23"/>
      <c r="I259" s="120">
        <f t="shared" si="24"/>
        <v>0</v>
      </c>
      <c r="J259" s="120">
        <f t="shared" si="25"/>
        <v>0</v>
      </c>
    </row>
    <row r="260" spans="1:10" ht="12.95" customHeight="1" outlineLevel="1">
      <c r="A260" s="17" t="s">
        <v>636</v>
      </c>
      <c r="B260" s="34" t="s">
        <v>336</v>
      </c>
      <c r="C260" s="127" t="s">
        <v>337</v>
      </c>
      <c r="D260" s="117" t="s">
        <v>586</v>
      </c>
      <c r="E260" s="123" t="s">
        <v>780</v>
      </c>
      <c r="F260" s="36" t="s">
        <v>599</v>
      </c>
      <c r="G260" s="119">
        <v>2</v>
      </c>
      <c r="H260" s="23"/>
      <c r="I260" s="120">
        <f t="shared" si="24"/>
        <v>0</v>
      </c>
      <c r="J260" s="120">
        <f t="shared" si="25"/>
        <v>0</v>
      </c>
    </row>
    <row r="261" spans="1:10" outlineLevel="1">
      <c r="A261" s="17" t="s">
        <v>636</v>
      </c>
      <c r="B261" s="34" t="s">
        <v>338</v>
      </c>
      <c r="C261" s="127" t="s">
        <v>339</v>
      </c>
      <c r="D261" s="117" t="s">
        <v>586</v>
      </c>
      <c r="E261" s="123" t="s">
        <v>781</v>
      </c>
      <c r="F261" s="36" t="s">
        <v>686</v>
      </c>
      <c r="G261" s="119">
        <v>2</v>
      </c>
      <c r="H261" s="23"/>
      <c r="I261" s="120">
        <f t="shared" si="24"/>
        <v>0</v>
      </c>
      <c r="J261" s="120">
        <f t="shared" si="25"/>
        <v>0</v>
      </c>
    </row>
    <row r="262" spans="1:10" ht="12.75" customHeight="1" outlineLevel="1">
      <c r="B262" s="35" t="s">
        <v>50</v>
      </c>
      <c r="C262" s="28"/>
      <c r="D262" s="20"/>
      <c r="E262" s="29"/>
      <c r="F262" s="22"/>
      <c r="G262" s="23"/>
      <c r="H262" s="25"/>
      <c r="I262" s="22"/>
      <c r="J262" s="24">
        <f>SUM(J253:J261)</f>
        <v>0</v>
      </c>
    </row>
    <row r="263" spans="1:10" ht="12.95" customHeight="1">
      <c r="A263" s="16" t="s">
        <v>636</v>
      </c>
      <c r="B263" s="35" t="s">
        <v>340</v>
      </c>
      <c r="C263" s="28">
        <v>1500000</v>
      </c>
      <c r="D263" s="114"/>
      <c r="E263" s="115" t="s">
        <v>653</v>
      </c>
      <c r="F263" s="22"/>
      <c r="G263" s="23"/>
      <c r="H263" s="25"/>
      <c r="I263" s="22"/>
      <c r="J263" s="24"/>
    </row>
    <row r="264" spans="1:10" ht="12.95" customHeight="1" outlineLevel="1">
      <c r="A264" s="17" t="s">
        <v>636</v>
      </c>
      <c r="B264" s="34" t="s">
        <v>341</v>
      </c>
      <c r="C264" s="126" t="s">
        <v>342</v>
      </c>
      <c r="D264" s="117" t="s">
        <v>586</v>
      </c>
      <c r="E264" s="123" t="s">
        <v>782</v>
      </c>
      <c r="F264" s="36" t="s">
        <v>654</v>
      </c>
      <c r="G264" s="119">
        <f>G233*1.2</f>
        <v>1218.0719999999999</v>
      </c>
      <c r="H264" s="23"/>
      <c r="I264" s="120">
        <f>H264*$J$9</f>
        <v>0</v>
      </c>
      <c r="J264" s="120">
        <f>ROUND(G264*I264,2)</f>
        <v>0</v>
      </c>
    </row>
    <row r="265" spans="1:10" ht="12.95" customHeight="1" outlineLevel="1">
      <c r="A265" s="17" t="s">
        <v>636</v>
      </c>
      <c r="B265" s="34" t="s">
        <v>343</v>
      </c>
      <c r="C265" s="126" t="s">
        <v>344</v>
      </c>
      <c r="D265" s="117" t="s">
        <v>586</v>
      </c>
      <c r="E265" s="123" t="s">
        <v>783</v>
      </c>
      <c r="F265" s="36" t="s">
        <v>654</v>
      </c>
      <c r="G265" s="119">
        <f>G145*3</f>
        <v>67.260000000000005</v>
      </c>
      <c r="H265" s="23"/>
      <c r="I265" s="120">
        <f>H265*$J$9</f>
        <v>0</v>
      </c>
      <c r="J265" s="120">
        <f>ROUND(G265*I265,2)</f>
        <v>0</v>
      </c>
    </row>
    <row r="266" spans="1:10" ht="12.95" customHeight="1" outlineLevel="1">
      <c r="A266" s="17" t="s">
        <v>636</v>
      </c>
      <c r="B266" s="34" t="s">
        <v>345</v>
      </c>
      <c r="C266" s="127" t="s">
        <v>346</v>
      </c>
      <c r="D266" s="117" t="s">
        <v>586</v>
      </c>
      <c r="E266" s="123" t="s">
        <v>784</v>
      </c>
      <c r="F266" s="36" t="s">
        <v>654</v>
      </c>
      <c r="G266" s="119">
        <v>845</v>
      </c>
      <c r="H266" s="23"/>
      <c r="I266" s="120">
        <f>H266*$J$9</f>
        <v>0</v>
      </c>
      <c r="J266" s="120">
        <f>ROUND(G266*I266,2)</f>
        <v>0</v>
      </c>
    </row>
    <row r="267" spans="1:10" ht="12.75" customHeight="1" outlineLevel="1">
      <c r="B267" s="35" t="s">
        <v>50</v>
      </c>
      <c r="C267" s="28"/>
      <c r="D267" s="20"/>
      <c r="E267" s="29"/>
      <c r="F267" s="22"/>
      <c r="G267" s="23"/>
      <c r="H267" s="25"/>
      <c r="I267" s="22"/>
      <c r="J267" s="24">
        <f>SUM(J264:J266)</f>
        <v>0</v>
      </c>
    </row>
    <row r="268" spans="1:10" ht="12.95" customHeight="1">
      <c r="A268" s="16" t="s">
        <v>636</v>
      </c>
      <c r="B268" s="35" t="s">
        <v>347</v>
      </c>
      <c r="C268" s="28">
        <v>1600000</v>
      </c>
      <c r="D268" s="114"/>
      <c r="E268" s="115" t="s">
        <v>645</v>
      </c>
      <c r="F268" s="22"/>
      <c r="G268" s="23"/>
      <c r="H268" s="25"/>
      <c r="I268" s="22"/>
      <c r="J268" s="24"/>
    </row>
    <row r="269" spans="1:10" ht="25.5" outlineLevel="1">
      <c r="A269" s="17" t="s">
        <v>636</v>
      </c>
      <c r="B269" s="34" t="s">
        <v>348</v>
      </c>
      <c r="C269" s="126" t="s">
        <v>349</v>
      </c>
      <c r="D269" s="117" t="s">
        <v>586</v>
      </c>
      <c r="E269" s="123" t="s">
        <v>687</v>
      </c>
      <c r="F269" s="36" t="s">
        <v>32</v>
      </c>
      <c r="G269" s="119">
        <v>15</v>
      </c>
      <c r="H269" s="23"/>
      <c r="I269" s="120">
        <f>H269*$J$9</f>
        <v>0</v>
      </c>
      <c r="J269" s="120">
        <f>ROUND(G269*I269,2)</f>
        <v>0</v>
      </c>
    </row>
    <row r="270" spans="1:10" ht="12.95" customHeight="1" outlineLevel="1">
      <c r="A270" s="17" t="s">
        <v>636</v>
      </c>
      <c r="B270" s="34" t="s">
        <v>350</v>
      </c>
      <c r="C270" s="125" t="s">
        <v>351</v>
      </c>
      <c r="D270" s="117" t="s">
        <v>586</v>
      </c>
      <c r="E270" s="123" t="s">
        <v>688</v>
      </c>
      <c r="F270" s="36" t="s">
        <v>654</v>
      </c>
      <c r="G270" s="119">
        <v>2</v>
      </c>
      <c r="H270" s="23"/>
      <c r="I270" s="120">
        <f>H270*$J$9</f>
        <v>0</v>
      </c>
      <c r="J270" s="120">
        <f>ROUND(G270*I270,2)</f>
        <v>0</v>
      </c>
    </row>
    <row r="271" spans="1:10" ht="12.95" customHeight="1" outlineLevel="1">
      <c r="A271" s="17" t="s">
        <v>636</v>
      </c>
      <c r="B271" s="34" t="s">
        <v>352</v>
      </c>
      <c r="C271" s="126" t="s">
        <v>353</v>
      </c>
      <c r="D271" s="156" t="s">
        <v>586</v>
      </c>
      <c r="E271" s="123" t="s">
        <v>689</v>
      </c>
      <c r="F271" s="36" t="s">
        <v>654</v>
      </c>
      <c r="G271" s="157">
        <f>G136*1.2</f>
        <v>456.79199999999997</v>
      </c>
      <c r="H271" s="23"/>
      <c r="I271" s="144">
        <f>H271*$J$9</f>
        <v>0</v>
      </c>
      <c r="J271" s="144">
        <f>ROUND(G271*I271,2)</f>
        <v>0</v>
      </c>
    </row>
    <row r="272" spans="1:10" ht="12.75" customHeight="1" outlineLevel="1" thickBot="1">
      <c r="B272" s="20" t="s">
        <v>50</v>
      </c>
      <c r="C272" s="20"/>
      <c r="D272" s="20"/>
      <c r="E272" s="118"/>
      <c r="F272" s="36"/>
      <c r="G272" s="40"/>
      <c r="H272" s="23"/>
      <c r="I272" s="22"/>
      <c r="J272" s="24">
        <f>SUM(J269:J271)</f>
        <v>0</v>
      </c>
    </row>
    <row r="273" spans="1:12" ht="18" customHeight="1" thickBot="1">
      <c r="B273" s="346" t="s">
        <v>90</v>
      </c>
      <c r="C273" s="347"/>
      <c r="D273" s="347"/>
      <c r="E273" s="347"/>
      <c r="F273" s="347"/>
      <c r="G273" s="347"/>
      <c r="H273" s="348"/>
      <c r="I273" s="349">
        <f>J272+J267+J262+J251+J237+J230+J226+J190+J156+J147+J143+J139+J131+J123</f>
        <v>0</v>
      </c>
      <c r="J273" s="350"/>
      <c r="K273" s="30"/>
      <c r="L273" s="44">
        <f>I273/G136</f>
        <v>0</v>
      </c>
    </row>
    <row r="274" spans="1:12" ht="9.9499999999999993" customHeight="1" thickBot="1">
      <c r="B274" s="31"/>
      <c r="C274" s="31"/>
      <c r="D274" s="31"/>
      <c r="E274" s="31"/>
      <c r="F274" s="31"/>
      <c r="G274" s="31"/>
      <c r="H274" s="31"/>
      <c r="I274" s="33"/>
      <c r="J274" s="33"/>
      <c r="K274" s="30"/>
      <c r="L274" s="44"/>
    </row>
    <row r="275" spans="1:12" ht="24.95" customHeight="1" thickBot="1">
      <c r="B275" s="332" t="str">
        <f>B9</f>
        <v>Planilha</v>
      </c>
      <c r="C275" s="104">
        <v>4</v>
      </c>
      <c r="D275" s="105"/>
      <c r="E275" s="106" t="s">
        <v>354</v>
      </c>
      <c r="F275" s="105"/>
      <c r="G275" s="105"/>
      <c r="H275" s="138"/>
      <c r="I275" s="139"/>
      <c r="J275" s="140"/>
    </row>
    <row r="276" spans="1:12" ht="27" customHeight="1" thickBot="1">
      <c r="B276" s="109" t="s">
        <v>10</v>
      </c>
      <c r="C276" s="109" t="s">
        <v>11</v>
      </c>
      <c r="D276" s="109" t="s">
        <v>12</v>
      </c>
      <c r="E276" s="109" t="s">
        <v>13</v>
      </c>
      <c r="F276" s="109" t="s">
        <v>14</v>
      </c>
      <c r="G276" s="110" t="s">
        <v>15</v>
      </c>
      <c r="H276" s="111" t="s">
        <v>16</v>
      </c>
      <c r="I276" s="111" t="s">
        <v>17</v>
      </c>
      <c r="J276" s="112" t="s">
        <v>18</v>
      </c>
    </row>
    <row r="277" spans="1:12" ht="12.95" customHeight="1">
      <c r="A277" s="16" t="s">
        <v>636</v>
      </c>
      <c r="B277" s="20" t="s">
        <v>355</v>
      </c>
      <c r="C277" s="113">
        <v>100000</v>
      </c>
      <c r="D277" s="114"/>
      <c r="E277" s="158" t="s">
        <v>637</v>
      </c>
      <c r="F277" s="22"/>
      <c r="G277" s="23"/>
      <c r="H277" s="25"/>
      <c r="I277" s="22"/>
      <c r="J277" s="24"/>
    </row>
    <row r="278" spans="1:12" ht="12.95" customHeight="1" outlineLevel="1">
      <c r="A278" s="17" t="s">
        <v>636</v>
      </c>
      <c r="B278" s="83" t="s">
        <v>356</v>
      </c>
      <c r="C278" s="131" t="s">
        <v>131</v>
      </c>
      <c r="D278" s="117" t="s">
        <v>586</v>
      </c>
      <c r="E278" s="123" t="s">
        <v>690</v>
      </c>
      <c r="F278" s="36" t="s">
        <v>654</v>
      </c>
      <c r="G278" s="119">
        <f>6.15*9.6</f>
        <v>59.04</v>
      </c>
      <c r="H278" s="23"/>
      <c r="I278" s="120">
        <f>H278*$J$9</f>
        <v>0</v>
      </c>
      <c r="J278" s="120">
        <f t="shared" ref="J278:J281" si="26">ROUND(G278*I278,2)</f>
        <v>0</v>
      </c>
      <c r="K278" s="19"/>
    </row>
    <row r="279" spans="1:12" ht="12.95" customHeight="1" outlineLevel="1">
      <c r="A279" s="17" t="s">
        <v>636</v>
      </c>
      <c r="B279" s="83" t="s">
        <v>357</v>
      </c>
      <c r="C279" s="127" t="s">
        <v>133</v>
      </c>
      <c r="D279" s="117" t="s">
        <v>586</v>
      </c>
      <c r="E279" s="123" t="s">
        <v>691</v>
      </c>
      <c r="F279" s="36" t="s">
        <v>32</v>
      </c>
      <c r="G279" s="119">
        <f>G278*0.3</f>
        <v>17.712</v>
      </c>
      <c r="H279" s="23"/>
      <c r="I279" s="120">
        <f>H279*$J$9</f>
        <v>0</v>
      </c>
      <c r="J279" s="120">
        <f t="shared" si="26"/>
        <v>0</v>
      </c>
      <c r="K279" s="19"/>
    </row>
    <row r="280" spans="1:12" outlineLevel="1">
      <c r="A280" s="17" t="s">
        <v>636</v>
      </c>
      <c r="B280" s="83" t="s">
        <v>358</v>
      </c>
      <c r="C280" s="126" t="s">
        <v>27</v>
      </c>
      <c r="D280" s="117" t="s">
        <v>586</v>
      </c>
      <c r="E280" s="123" t="s">
        <v>662</v>
      </c>
      <c r="F280" s="36" t="s">
        <v>32</v>
      </c>
      <c r="G280" s="119">
        <f>G278*0.25</f>
        <v>14.76</v>
      </c>
      <c r="H280" s="23"/>
      <c r="I280" s="120">
        <f>H280*$J$9</f>
        <v>0</v>
      </c>
      <c r="J280" s="120">
        <f t="shared" si="26"/>
        <v>0</v>
      </c>
      <c r="K280" s="19"/>
    </row>
    <row r="281" spans="1:12" ht="25.5" customHeight="1" outlineLevel="1">
      <c r="A281" s="17" t="s">
        <v>636</v>
      </c>
      <c r="B281" s="83" t="s">
        <v>359</v>
      </c>
      <c r="C281" s="126" t="s">
        <v>35</v>
      </c>
      <c r="D281" s="117" t="s">
        <v>586</v>
      </c>
      <c r="E281" s="123" t="s">
        <v>665</v>
      </c>
      <c r="F281" s="36" t="s">
        <v>32</v>
      </c>
      <c r="G281" s="119">
        <f>G279</f>
        <v>17.712</v>
      </c>
      <c r="H281" s="23"/>
      <c r="I281" s="120">
        <f>H281*$J$9</f>
        <v>0</v>
      </c>
      <c r="J281" s="120">
        <f t="shared" si="26"/>
        <v>0</v>
      </c>
    </row>
    <row r="282" spans="1:12" ht="12.95" customHeight="1" outlineLevel="1">
      <c r="B282" s="20" t="s">
        <v>36</v>
      </c>
      <c r="C282" s="28"/>
      <c r="D282" s="20"/>
      <c r="E282" s="22"/>
      <c r="F282" s="22"/>
      <c r="G282" s="23"/>
      <c r="H282" s="23"/>
      <c r="I282" s="22"/>
      <c r="J282" s="24">
        <f>SUM(J278:J281)</f>
        <v>0</v>
      </c>
    </row>
    <row r="283" spans="1:12" ht="12.95" customHeight="1">
      <c r="A283" s="16" t="s">
        <v>636</v>
      </c>
      <c r="B283" s="20" t="s">
        <v>360</v>
      </c>
      <c r="C283" s="132">
        <v>200000</v>
      </c>
      <c r="D283" s="114"/>
      <c r="E283" s="115" t="s">
        <v>638</v>
      </c>
      <c r="F283" s="22"/>
      <c r="G283" s="23"/>
      <c r="H283" s="25"/>
      <c r="I283" s="22"/>
      <c r="J283" s="24"/>
    </row>
    <row r="284" spans="1:12" outlineLevel="1">
      <c r="A284" s="17" t="s">
        <v>636</v>
      </c>
      <c r="B284" s="83" t="s">
        <v>361</v>
      </c>
      <c r="C284" s="126" t="s">
        <v>39</v>
      </c>
      <c r="D284" s="117" t="s">
        <v>586</v>
      </c>
      <c r="E284" s="123" t="s">
        <v>666</v>
      </c>
      <c r="F284" s="36" t="s">
        <v>32</v>
      </c>
      <c r="G284" s="119">
        <v>3.9960000000000004</v>
      </c>
      <c r="H284" s="23"/>
      <c r="I284" s="120">
        <f t="shared" ref="I284:I289" si="27">H284*$J$9</f>
        <v>0</v>
      </c>
      <c r="J284" s="120">
        <f t="shared" ref="J284:J289" si="28">ROUND(G284*I284,2)</f>
        <v>0</v>
      </c>
    </row>
    <row r="285" spans="1:12" ht="12.95" customHeight="1" outlineLevel="1">
      <c r="A285" s="17" t="s">
        <v>636</v>
      </c>
      <c r="B285" s="83" t="s">
        <v>362</v>
      </c>
      <c r="C285" s="126" t="s">
        <v>41</v>
      </c>
      <c r="D285" s="117" t="s">
        <v>586</v>
      </c>
      <c r="E285" s="123" t="s">
        <v>667</v>
      </c>
      <c r="F285" s="36" t="s">
        <v>592</v>
      </c>
      <c r="G285" s="119">
        <v>64</v>
      </c>
      <c r="H285" s="23"/>
      <c r="I285" s="120">
        <f t="shared" si="27"/>
        <v>0</v>
      </c>
      <c r="J285" s="120">
        <f t="shared" si="28"/>
        <v>0</v>
      </c>
    </row>
    <row r="286" spans="1:12" ht="12.95" customHeight="1" outlineLevel="1">
      <c r="A286" s="17" t="s">
        <v>636</v>
      </c>
      <c r="B286" s="83" t="s">
        <v>363</v>
      </c>
      <c r="C286" s="126" t="s">
        <v>43</v>
      </c>
      <c r="D286" s="117" t="s">
        <v>586</v>
      </c>
      <c r="E286" s="123" t="s">
        <v>668</v>
      </c>
      <c r="F286" s="36" t="s">
        <v>654</v>
      </c>
      <c r="G286" s="119">
        <v>33.299999999999997</v>
      </c>
      <c r="H286" s="23"/>
      <c r="I286" s="120">
        <f t="shared" si="27"/>
        <v>0</v>
      </c>
      <c r="J286" s="120">
        <f t="shared" si="28"/>
        <v>0</v>
      </c>
    </row>
    <row r="287" spans="1:12" ht="12.95" customHeight="1" outlineLevel="1">
      <c r="A287" s="17" t="s">
        <v>636</v>
      </c>
      <c r="B287" s="83" t="s">
        <v>364</v>
      </c>
      <c r="C287" s="126" t="s">
        <v>45</v>
      </c>
      <c r="D287" s="117" t="s">
        <v>586</v>
      </c>
      <c r="E287" s="123" t="s">
        <v>669</v>
      </c>
      <c r="F287" s="36" t="s">
        <v>655</v>
      </c>
      <c r="G287" s="119">
        <v>272.40875999999997</v>
      </c>
      <c r="H287" s="23"/>
      <c r="I287" s="120">
        <f t="shared" si="27"/>
        <v>0</v>
      </c>
      <c r="J287" s="120">
        <f t="shared" si="28"/>
        <v>0</v>
      </c>
    </row>
    <row r="288" spans="1:12" ht="12.95" customHeight="1" outlineLevel="1">
      <c r="A288" s="17" t="s">
        <v>636</v>
      </c>
      <c r="B288" s="83" t="s">
        <v>365</v>
      </c>
      <c r="C288" s="126" t="s">
        <v>47</v>
      </c>
      <c r="D288" s="117" t="s">
        <v>586</v>
      </c>
      <c r="E288" s="123" t="s">
        <v>670</v>
      </c>
      <c r="F288" s="36" t="s">
        <v>32</v>
      </c>
      <c r="G288" s="119">
        <v>3.9960000000000004</v>
      </c>
      <c r="H288" s="23"/>
      <c r="I288" s="120">
        <f t="shared" si="27"/>
        <v>0</v>
      </c>
      <c r="J288" s="120">
        <f t="shared" si="28"/>
        <v>0</v>
      </c>
    </row>
    <row r="289" spans="1:13" ht="12.95" customHeight="1" outlineLevel="1">
      <c r="A289" s="17" t="s">
        <v>636</v>
      </c>
      <c r="B289" s="83" t="s">
        <v>366</v>
      </c>
      <c r="C289" s="126" t="s">
        <v>49</v>
      </c>
      <c r="D289" s="117" t="s">
        <v>586</v>
      </c>
      <c r="E289" s="123" t="s">
        <v>671</v>
      </c>
      <c r="F289" s="36" t="s">
        <v>32</v>
      </c>
      <c r="G289" s="119">
        <v>0.48480000000000006</v>
      </c>
      <c r="H289" s="23"/>
      <c r="I289" s="120">
        <f t="shared" si="27"/>
        <v>0</v>
      </c>
      <c r="J289" s="120">
        <f t="shared" si="28"/>
        <v>0</v>
      </c>
    </row>
    <row r="290" spans="1:13" ht="12.75" customHeight="1" outlineLevel="1">
      <c r="B290" s="20" t="s">
        <v>50</v>
      </c>
      <c r="C290" s="28"/>
      <c r="D290" s="20"/>
      <c r="E290" s="22"/>
      <c r="F290" s="22"/>
      <c r="G290" s="23"/>
      <c r="H290" s="25"/>
      <c r="I290" s="22"/>
      <c r="J290" s="24">
        <f>SUM(J284:J289)</f>
        <v>0</v>
      </c>
    </row>
    <row r="291" spans="1:13" ht="12.95" customHeight="1">
      <c r="A291" s="16" t="s">
        <v>636</v>
      </c>
      <c r="B291" s="20" t="s">
        <v>367</v>
      </c>
      <c r="C291" s="130">
        <v>300000</v>
      </c>
      <c r="D291" s="114"/>
      <c r="E291" s="115" t="s">
        <v>639</v>
      </c>
      <c r="F291" s="22"/>
      <c r="G291" s="23"/>
      <c r="H291" s="25"/>
      <c r="I291" s="22"/>
      <c r="J291" s="24"/>
    </row>
    <row r="292" spans="1:13" ht="12.95" customHeight="1" outlineLevel="1">
      <c r="A292" s="17" t="s">
        <v>636</v>
      </c>
      <c r="B292" s="83" t="s">
        <v>368</v>
      </c>
      <c r="C292" s="126" t="s">
        <v>53</v>
      </c>
      <c r="D292" s="117" t="s">
        <v>586</v>
      </c>
      <c r="E292" s="123" t="s">
        <v>672</v>
      </c>
      <c r="F292" s="36" t="s">
        <v>654</v>
      </c>
      <c r="G292" s="119">
        <v>50.8</v>
      </c>
      <c r="H292" s="23"/>
      <c r="I292" s="120">
        <f>H292*$J$9</f>
        <v>0</v>
      </c>
      <c r="J292" s="120">
        <f>ROUND(G292*I292,2)</f>
        <v>0</v>
      </c>
    </row>
    <row r="293" spans="1:13" ht="12.95" customHeight="1" outlineLevel="1">
      <c r="A293" s="17" t="s">
        <v>636</v>
      </c>
      <c r="B293" s="83" t="s">
        <v>369</v>
      </c>
      <c r="C293" s="126" t="s">
        <v>45</v>
      </c>
      <c r="D293" s="117" t="s">
        <v>586</v>
      </c>
      <c r="E293" s="123" t="s">
        <v>669</v>
      </c>
      <c r="F293" s="36" t="s">
        <v>655</v>
      </c>
      <c r="G293" s="119">
        <v>393.13319999999999</v>
      </c>
      <c r="H293" s="23"/>
      <c r="I293" s="120">
        <f>H293*$J$9</f>
        <v>0</v>
      </c>
      <c r="J293" s="120">
        <f>ROUND(G293*I293,2)</f>
        <v>0</v>
      </c>
    </row>
    <row r="294" spans="1:13" ht="12.95" customHeight="1" outlineLevel="1">
      <c r="A294" s="17" t="s">
        <v>636</v>
      </c>
      <c r="B294" s="83" t="s">
        <v>370</v>
      </c>
      <c r="C294" s="126" t="s">
        <v>47</v>
      </c>
      <c r="D294" s="117" t="s">
        <v>586</v>
      </c>
      <c r="E294" s="123" t="s">
        <v>670</v>
      </c>
      <c r="F294" s="36" t="s">
        <v>32</v>
      </c>
      <c r="G294" s="119">
        <v>7.15</v>
      </c>
      <c r="H294" s="23"/>
      <c r="I294" s="120">
        <f>H294*$J$9</f>
        <v>0</v>
      </c>
      <c r="J294" s="120">
        <f>ROUND(G294*I294,2)</f>
        <v>0</v>
      </c>
    </row>
    <row r="295" spans="1:13" ht="25.5" customHeight="1" outlineLevel="1">
      <c r="A295" s="17" t="s">
        <v>636</v>
      </c>
      <c r="B295" s="83" t="s">
        <v>371</v>
      </c>
      <c r="C295" s="126" t="s">
        <v>150</v>
      </c>
      <c r="D295" s="117" t="s">
        <v>586</v>
      </c>
      <c r="E295" s="123" t="s">
        <v>694</v>
      </c>
      <c r="F295" s="36" t="s">
        <v>654</v>
      </c>
      <c r="G295" s="119">
        <f>9.6*4.3</f>
        <v>41.279999999999994</v>
      </c>
      <c r="H295" s="23"/>
      <c r="I295" s="120">
        <f>H295*$J$9</f>
        <v>0</v>
      </c>
      <c r="J295" s="120">
        <f>ROUND(G295*I295,2)</f>
        <v>0</v>
      </c>
    </row>
    <row r="296" spans="1:13" ht="12.95" customHeight="1" outlineLevel="1">
      <c r="B296" s="20" t="s">
        <v>36</v>
      </c>
      <c r="C296" s="28"/>
      <c r="D296" s="20"/>
      <c r="E296" s="22"/>
      <c r="F296" s="22"/>
      <c r="G296" s="23"/>
      <c r="H296" s="25"/>
      <c r="I296" s="22"/>
      <c r="J296" s="24">
        <f>SUM(J292:J295)</f>
        <v>0</v>
      </c>
    </row>
    <row r="297" spans="1:13" ht="12.95" customHeight="1">
      <c r="A297" s="16" t="s">
        <v>636</v>
      </c>
      <c r="B297" s="20" t="s">
        <v>372</v>
      </c>
      <c r="C297" s="132">
        <v>400000</v>
      </c>
      <c r="D297" s="114"/>
      <c r="E297" s="115" t="s">
        <v>640</v>
      </c>
      <c r="F297" s="22"/>
      <c r="G297" s="23"/>
      <c r="H297" s="25"/>
      <c r="I297" s="22"/>
      <c r="J297" s="24"/>
    </row>
    <row r="298" spans="1:13" ht="12.95" customHeight="1" outlineLevel="1">
      <c r="A298" s="17" t="s">
        <v>636</v>
      </c>
      <c r="B298" s="83" t="s">
        <v>373</v>
      </c>
      <c r="C298" s="127" t="s">
        <v>155</v>
      </c>
      <c r="D298" s="117" t="s">
        <v>586</v>
      </c>
      <c r="E298" s="123" t="s">
        <v>695</v>
      </c>
      <c r="F298" s="36" t="s">
        <v>654</v>
      </c>
      <c r="G298" s="119">
        <f>(9.6*2+4*4)*2.8</f>
        <v>98.56</v>
      </c>
      <c r="H298" s="23"/>
      <c r="I298" s="120">
        <f>H298*$J$9</f>
        <v>0</v>
      </c>
      <c r="J298" s="120">
        <f>ROUND(G298*I298,2)</f>
        <v>0</v>
      </c>
    </row>
    <row r="299" spans="1:13" ht="12.75" customHeight="1" outlineLevel="1">
      <c r="B299" s="20" t="s">
        <v>50</v>
      </c>
      <c r="C299" s="28"/>
      <c r="D299" s="20"/>
      <c r="E299" s="22"/>
      <c r="F299" s="22"/>
      <c r="G299" s="23"/>
      <c r="H299" s="25"/>
      <c r="I299" s="22"/>
      <c r="J299" s="24">
        <f>SUM(J298:J298)</f>
        <v>0</v>
      </c>
    </row>
    <row r="300" spans="1:13" ht="12.95" customHeight="1">
      <c r="A300" s="1" t="s">
        <v>59</v>
      </c>
      <c r="B300" s="20" t="s">
        <v>374</v>
      </c>
      <c r="C300" s="130">
        <v>600000</v>
      </c>
      <c r="D300" s="114"/>
      <c r="E300" s="115" t="s">
        <v>648</v>
      </c>
      <c r="F300" s="22"/>
      <c r="G300" s="23"/>
      <c r="H300" s="25"/>
      <c r="I300" s="22"/>
      <c r="J300" s="24"/>
    </row>
    <row r="301" spans="1:13" ht="12.95" customHeight="1" outlineLevel="1">
      <c r="A301" s="17" t="s">
        <v>636</v>
      </c>
      <c r="B301" s="82" t="s">
        <v>375</v>
      </c>
      <c r="C301" s="126" t="s">
        <v>160</v>
      </c>
      <c r="D301" s="142" t="s">
        <v>586</v>
      </c>
      <c r="E301" s="123" t="s">
        <v>697</v>
      </c>
      <c r="F301" s="36" t="s">
        <v>654</v>
      </c>
      <c r="G301" s="157">
        <f>1.4*2.1*2+0.8*2.1+0.6*1.9*3</f>
        <v>10.98</v>
      </c>
      <c r="H301" s="23"/>
      <c r="I301" s="144">
        <f>H301*$J$9</f>
        <v>0</v>
      </c>
      <c r="J301" s="144">
        <f>ROUND(G301*I301,2)</f>
        <v>0</v>
      </c>
      <c r="M301" s="26"/>
    </row>
    <row r="302" spans="1:13" ht="12.95" customHeight="1" outlineLevel="1">
      <c r="A302" s="17" t="s">
        <v>636</v>
      </c>
      <c r="B302" s="82" t="s">
        <v>376</v>
      </c>
      <c r="C302" s="133" t="s">
        <v>377</v>
      </c>
      <c r="D302" s="117" t="s">
        <v>586</v>
      </c>
      <c r="E302" s="123" t="s">
        <v>785</v>
      </c>
      <c r="F302" s="36" t="s">
        <v>654</v>
      </c>
      <c r="G302" s="119">
        <f>1*0.6*4+1*1*2</f>
        <v>4.4000000000000004</v>
      </c>
      <c r="H302" s="23"/>
      <c r="I302" s="120">
        <f>H302*$J$9</f>
        <v>0</v>
      </c>
      <c r="J302" s="120">
        <f>ROUND(G302*I302,2)</f>
        <v>0</v>
      </c>
      <c r="M302" s="26"/>
    </row>
    <row r="303" spans="1:13" ht="12.95" customHeight="1" outlineLevel="1">
      <c r="B303" s="20" t="s">
        <v>36</v>
      </c>
      <c r="C303" s="28"/>
      <c r="D303" s="20"/>
      <c r="E303" s="22"/>
      <c r="F303" s="22"/>
      <c r="G303" s="23"/>
      <c r="H303" s="25"/>
      <c r="I303" s="22"/>
      <c r="J303" s="24">
        <f>SUM(J301:J302)</f>
        <v>0</v>
      </c>
    </row>
    <row r="304" spans="1:13" ht="12.95" customHeight="1">
      <c r="A304" s="16" t="s">
        <v>636</v>
      </c>
      <c r="B304" s="20" t="s">
        <v>378</v>
      </c>
      <c r="C304" s="132">
        <v>700000</v>
      </c>
      <c r="D304" s="114"/>
      <c r="E304" s="115" t="s">
        <v>649</v>
      </c>
      <c r="F304" s="22"/>
      <c r="G304" s="23"/>
      <c r="H304" s="25"/>
      <c r="I304" s="22"/>
      <c r="J304" s="24"/>
    </row>
    <row r="305" spans="1:10" outlineLevel="1">
      <c r="A305" s="17" t="s">
        <v>636</v>
      </c>
      <c r="B305" s="83" t="s">
        <v>379</v>
      </c>
      <c r="C305" s="126" t="s">
        <v>380</v>
      </c>
      <c r="D305" s="117" t="s">
        <v>586</v>
      </c>
      <c r="E305" s="123" t="s">
        <v>786</v>
      </c>
      <c r="F305" s="36" t="s">
        <v>654</v>
      </c>
      <c r="G305" s="119">
        <f>7.1*10.6</f>
        <v>75.259999999999991</v>
      </c>
      <c r="H305" s="23"/>
      <c r="I305" s="120">
        <f>H305*$J$9</f>
        <v>0</v>
      </c>
      <c r="J305" s="120">
        <f>ROUND(G305*I305,2)</f>
        <v>0</v>
      </c>
    </row>
    <row r="306" spans="1:10" ht="12.95" customHeight="1" outlineLevel="1">
      <c r="A306" s="17" t="s">
        <v>636</v>
      </c>
      <c r="B306" s="83" t="s">
        <v>381</v>
      </c>
      <c r="C306" s="126" t="s">
        <v>382</v>
      </c>
      <c r="D306" s="117" t="s">
        <v>586</v>
      </c>
      <c r="E306" s="123" t="s">
        <v>787</v>
      </c>
      <c r="F306" s="36" t="s">
        <v>654</v>
      </c>
      <c r="G306" s="119">
        <f>G305*1.1</f>
        <v>82.786000000000001</v>
      </c>
      <c r="H306" s="23"/>
      <c r="I306" s="120">
        <f>H306*$J$9</f>
        <v>0</v>
      </c>
      <c r="J306" s="120">
        <f>ROUND(G306*I306,2)</f>
        <v>0</v>
      </c>
    </row>
    <row r="307" spans="1:10" ht="12.75" customHeight="1" outlineLevel="1">
      <c r="B307" s="20" t="s">
        <v>50</v>
      </c>
      <c r="C307" s="28"/>
      <c r="D307" s="20"/>
      <c r="E307" s="22"/>
      <c r="F307" s="22"/>
      <c r="G307" s="23"/>
      <c r="H307" s="25"/>
      <c r="I307" s="22"/>
      <c r="J307" s="24">
        <f>SUM(J305:J306)</f>
        <v>0</v>
      </c>
    </row>
    <row r="308" spans="1:10" ht="12.95" customHeight="1">
      <c r="A308" s="16" t="s">
        <v>636</v>
      </c>
      <c r="B308" s="20" t="s">
        <v>383</v>
      </c>
      <c r="C308" s="132">
        <v>800000</v>
      </c>
      <c r="D308" s="114"/>
      <c r="E308" s="115" t="s">
        <v>650</v>
      </c>
      <c r="F308" s="22"/>
      <c r="G308" s="23"/>
      <c r="H308" s="25"/>
      <c r="I308" s="22"/>
      <c r="J308" s="24"/>
    </row>
    <row r="309" spans="1:10" ht="12.95" customHeight="1" outlineLevel="1">
      <c r="A309" s="17" t="s">
        <v>636</v>
      </c>
      <c r="B309" s="83" t="s">
        <v>384</v>
      </c>
      <c r="C309" s="126" t="s">
        <v>176</v>
      </c>
      <c r="D309" s="117" t="s">
        <v>586</v>
      </c>
      <c r="E309" s="123" t="s">
        <v>705</v>
      </c>
      <c r="F309" s="36" t="s">
        <v>592</v>
      </c>
      <c r="G309" s="119">
        <v>40</v>
      </c>
      <c r="H309" s="23"/>
      <c r="I309" s="120">
        <f t="shared" ref="I309:I342" si="29">H309*$J$9</f>
        <v>0</v>
      </c>
      <c r="J309" s="120">
        <f t="shared" ref="J309:J342" si="30">ROUND(G309*I309,2)</f>
        <v>0</v>
      </c>
    </row>
    <row r="310" spans="1:10" ht="12.95" customHeight="1" outlineLevel="1">
      <c r="A310" s="17" t="s">
        <v>636</v>
      </c>
      <c r="B310" s="83" t="s">
        <v>385</v>
      </c>
      <c r="C310" s="159" t="s">
        <v>178</v>
      </c>
      <c r="D310" s="117" t="s">
        <v>586</v>
      </c>
      <c r="E310" s="123" t="s">
        <v>706</v>
      </c>
      <c r="F310" s="36" t="s">
        <v>592</v>
      </c>
      <c r="G310" s="119">
        <v>20</v>
      </c>
      <c r="H310" s="23"/>
      <c r="I310" s="120">
        <f t="shared" si="29"/>
        <v>0</v>
      </c>
      <c r="J310" s="120">
        <f t="shared" si="30"/>
        <v>0</v>
      </c>
    </row>
    <row r="311" spans="1:10" ht="25.5" customHeight="1" outlineLevel="1">
      <c r="A311" s="17" t="s">
        <v>636</v>
      </c>
      <c r="B311" s="83" t="s">
        <v>386</v>
      </c>
      <c r="C311" s="126" t="s">
        <v>180</v>
      </c>
      <c r="D311" s="117" t="s">
        <v>586</v>
      </c>
      <c r="E311" s="123" t="s">
        <v>707</v>
      </c>
      <c r="F311" s="36" t="s">
        <v>592</v>
      </c>
      <c r="G311" s="119">
        <v>10</v>
      </c>
      <c r="H311" s="23"/>
      <c r="I311" s="120">
        <f t="shared" si="29"/>
        <v>0</v>
      </c>
      <c r="J311" s="120">
        <f t="shared" si="30"/>
        <v>0</v>
      </c>
    </row>
    <row r="312" spans="1:10" ht="25.5" customHeight="1" outlineLevel="1">
      <c r="A312" s="17" t="s">
        <v>636</v>
      </c>
      <c r="B312" s="83" t="s">
        <v>387</v>
      </c>
      <c r="C312" s="126" t="s">
        <v>182</v>
      </c>
      <c r="D312" s="117" t="s">
        <v>586</v>
      </c>
      <c r="E312" s="123" t="s">
        <v>708</v>
      </c>
      <c r="F312" s="36" t="s">
        <v>592</v>
      </c>
      <c r="G312" s="119">
        <v>5</v>
      </c>
      <c r="H312" s="23"/>
      <c r="I312" s="120">
        <f t="shared" si="29"/>
        <v>0</v>
      </c>
      <c r="J312" s="120">
        <f t="shared" si="30"/>
        <v>0</v>
      </c>
    </row>
    <row r="313" spans="1:10" ht="25.5" customHeight="1" outlineLevel="1">
      <c r="A313" s="17" t="s">
        <v>636</v>
      </c>
      <c r="B313" s="83" t="s">
        <v>388</v>
      </c>
      <c r="C313" s="126" t="s">
        <v>184</v>
      </c>
      <c r="D313" s="117" t="s">
        <v>586</v>
      </c>
      <c r="E313" s="123" t="s">
        <v>709</v>
      </c>
      <c r="F313" s="36" t="s">
        <v>592</v>
      </c>
      <c r="G313" s="119">
        <v>20</v>
      </c>
      <c r="H313" s="23"/>
      <c r="I313" s="120">
        <f t="shared" si="29"/>
        <v>0</v>
      </c>
      <c r="J313" s="120">
        <f t="shared" si="30"/>
        <v>0</v>
      </c>
    </row>
    <row r="314" spans="1:10" ht="12.95" customHeight="1" outlineLevel="1">
      <c r="A314" s="17" t="s">
        <v>636</v>
      </c>
      <c r="B314" s="83" t="s">
        <v>389</v>
      </c>
      <c r="C314" s="131" t="s">
        <v>186</v>
      </c>
      <c r="D314" s="117" t="s">
        <v>586</v>
      </c>
      <c r="E314" s="123" t="s">
        <v>710</v>
      </c>
      <c r="F314" s="36" t="s">
        <v>599</v>
      </c>
      <c r="G314" s="119">
        <v>2</v>
      </c>
      <c r="H314" s="23"/>
      <c r="I314" s="120">
        <f t="shared" si="29"/>
        <v>0</v>
      </c>
      <c r="J314" s="120">
        <f t="shared" si="30"/>
        <v>0</v>
      </c>
    </row>
    <row r="315" spans="1:10" ht="12.75" customHeight="1" outlineLevel="1">
      <c r="A315" s="17" t="s">
        <v>636</v>
      </c>
      <c r="B315" s="83" t="s">
        <v>390</v>
      </c>
      <c r="C315" s="126" t="s">
        <v>188</v>
      </c>
      <c r="D315" s="117" t="s">
        <v>586</v>
      </c>
      <c r="E315" s="123" t="s">
        <v>711</v>
      </c>
      <c r="F315" s="36" t="s">
        <v>599</v>
      </c>
      <c r="G315" s="119">
        <v>3</v>
      </c>
      <c r="H315" s="23"/>
      <c r="I315" s="120">
        <f t="shared" si="29"/>
        <v>0</v>
      </c>
      <c r="J315" s="120">
        <f t="shared" si="30"/>
        <v>0</v>
      </c>
    </row>
    <row r="316" spans="1:10" ht="12.95" customHeight="1" outlineLevel="1">
      <c r="A316" s="17" t="s">
        <v>636</v>
      </c>
      <c r="B316" s="83" t="s">
        <v>391</v>
      </c>
      <c r="C316" s="126" t="s">
        <v>392</v>
      </c>
      <c r="D316" s="117" t="s">
        <v>586</v>
      </c>
      <c r="E316" s="123" t="s">
        <v>788</v>
      </c>
      <c r="F316" s="36" t="s">
        <v>599</v>
      </c>
      <c r="G316" s="119">
        <v>4</v>
      </c>
      <c r="H316" s="23"/>
      <c r="I316" s="120">
        <f t="shared" si="29"/>
        <v>0</v>
      </c>
      <c r="J316" s="120">
        <f t="shared" si="30"/>
        <v>0</v>
      </c>
    </row>
    <row r="317" spans="1:10" ht="12.95" customHeight="1" outlineLevel="1">
      <c r="A317" s="17" t="s">
        <v>643</v>
      </c>
      <c r="B317" s="83" t="s">
        <v>393</v>
      </c>
      <c r="C317" s="160">
        <v>1605073</v>
      </c>
      <c r="D317" s="117" t="s">
        <v>644</v>
      </c>
      <c r="E317" s="123" t="s">
        <v>713</v>
      </c>
      <c r="F317" s="36" t="s">
        <v>656</v>
      </c>
      <c r="G317" s="119">
        <f>2*0.8*0.8</f>
        <v>1.2800000000000002</v>
      </c>
      <c r="H317" s="23"/>
      <c r="I317" s="120">
        <f t="shared" si="29"/>
        <v>0</v>
      </c>
      <c r="J317" s="120">
        <f t="shared" si="30"/>
        <v>0</v>
      </c>
    </row>
    <row r="318" spans="1:10" ht="12.95" customHeight="1" outlineLevel="1">
      <c r="A318" s="17" t="s">
        <v>636</v>
      </c>
      <c r="B318" s="83" t="s">
        <v>394</v>
      </c>
      <c r="C318" s="126" t="s">
        <v>190</v>
      </c>
      <c r="D318" s="117" t="s">
        <v>586</v>
      </c>
      <c r="E318" s="123" t="s">
        <v>712</v>
      </c>
      <c r="F318" s="36" t="s">
        <v>599</v>
      </c>
      <c r="G318" s="119">
        <v>1</v>
      </c>
      <c r="H318" s="23"/>
      <c r="I318" s="120">
        <f t="shared" si="29"/>
        <v>0</v>
      </c>
      <c r="J318" s="120">
        <f t="shared" si="30"/>
        <v>0</v>
      </c>
    </row>
    <row r="319" spans="1:10" ht="25.5" outlineLevel="1">
      <c r="A319" s="17" t="s">
        <v>636</v>
      </c>
      <c r="B319" s="83" t="s">
        <v>395</v>
      </c>
      <c r="C319" s="126" t="s">
        <v>193</v>
      </c>
      <c r="D319" s="117" t="s">
        <v>586</v>
      </c>
      <c r="E319" s="123" t="s">
        <v>714</v>
      </c>
      <c r="F319" s="36" t="s">
        <v>599</v>
      </c>
      <c r="G319" s="119">
        <v>3</v>
      </c>
      <c r="H319" s="23"/>
      <c r="I319" s="120">
        <f t="shared" si="29"/>
        <v>0</v>
      </c>
      <c r="J319" s="120">
        <f t="shared" si="30"/>
        <v>0</v>
      </c>
    </row>
    <row r="320" spans="1:10" ht="12.95" customHeight="1" outlineLevel="1">
      <c r="A320" s="17" t="s">
        <v>636</v>
      </c>
      <c r="B320" s="83" t="s">
        <v>396</v>
      </c>
      <c r="C320" s="126" t="s">
        <v>397</v>
      </c>
      <c r="D320" s="117" t="s">
        <v>586</v>
      </c>
      <c r="E320" s="123" t="s">
        <v>789</v>
      </c>
      <c r="F320" s="36" t="s">
        <v>599</v>
      </c>
      <c r="G320" s="119">
        <v>3</v>
      </c>
      <c r="H320" s="23"/>
      <c r="I320" s="120">
        <f t="shared" si="29"/>
        <v>0</v>
      </c>
      <c r="J320" s="120">
        <f t="shared" si="30"/>
        <v>0</v>
      </c>
    </row>
    <row r="321" spans="1:10" ht="12.95" customHeight="1" outlineLevel="1">
      <c r="A321" s="17" t="s">
        <v>636</v>
      </c>
      <c r="B321" s="83" t="s">
        <v>398</v>
      </c>
      <c r="C321" s="126" t="s">
        <v>199</v>
      </c>
      <c r="D321" s="117" t="s">
        <v>586</v>
      </c>
      <c r="E321" s="123" t="s">
        <v>717</v>
      </c>
      <c r="F321" s="36" t="s">
        <v>599</v>
      </c>
      <c r="G321" s="119">
        <v>1</v>
      </c>
      <c r="H321" s="23"/>
      <c r="I321" s="120">
        <f t="shared" si="29"/>
        <v>0</v>
      </c>
      <c r="J321" s="120">
        <f t="shared" si="30"/>
        <v>0</v>
      </c>
    </row>
    <row r="322" spans="1:10" ht="12.95" customHeight="1" outlineLevel="1">
      <c r="A322" s="17" t="s">
        <v>636</v>
      </c>
      <c r="B322" s="34" t="s">
        <v>399</v>
      </c>
      <c r="C322" s="126" t="s">
        <v>201</v>
      </c>
      <c r="D322" s="117" t="s">
        <v>586</v>
      </c>
      <c r="E322" s="123" t="s">
        <v>718</v>
      </c>
      <c r="F322" s="36" t="s">
        <v>599</v>
      </c>
      <c r="G322" s="119">
        <v>2</v>
      </c>
      <c r="H322" s="23"/>
      <c r="I322" s="120">
        <f t="shared" si="29"/>
        <v>0</v>
      </c>
      <c r="J322" s="120">
        <f t="shared" si="30"/>
        <v>0</v>
      </c>
    </row>
    <row r="323" spans="1:10" ht="12.95" customHeight="1" outlineLevel="1">
      <c r="A323" s="17" t="s">
        <v>636</v>
      </c>
      <c r="B323" s="34" t="s">
        <v>400</v>
      </c>
      <c r="C323" s="150" t="s">
        <v>401</v>
      </c>
      <c r="D323" s="117" t="s">
        <v>586</v>
      </c>
      <c r="E323" s="123" t="s">
        <v>790</v>
      </c>
      <c r="F323" s="36" t="s">
        <v>599</v>
      </c>
      <c r="G323" s="119">
        <v>2</v>
      </c>
      <c r="H323" s="23"/>
      <c r="I323" s="120">
        <f t="shared" si="29"/>
        <v>0</v>
      </c>
      <c r="J323" s="120">
        <f t="shared" si="30"/>
        <v>0</v>
      </c>
    </row>
    <row r="324" spans="1:10" ht="12.95" customHeight="1" outlineLevel="1">
      <c r="A324" s="17" t="s">
        <v>636</v>
      </c>
      <c r="B324" s="34" t="s">
        <v>402</v>
      </c>
      <c r="C324" s="126" t="s">
        <v>205</v>
      </c>
      <c r="D324" s="117" t="s">
        <v>586</v>
      </c>
      <c r="E324" s="123" t="s">
        <v>720</v>
      </c>
      <c r="F324" s="36" t="s">
        <v>599</v>
      </c>
      <c r="G324" s="119">
        <v>1</v>
      </c>
      <c r="H324" s="23"/>
      <c r="I324" s="120">
        <f t="shared" si="29"/>
        <v>0</v>
      </c>
      <c r="J324" s="120">
        <f t="shared" si="30"/>
        <v>0</v>
      </c>
    </row>
    <row r="325" spans="1:10" ht="12.95" customHeight="1" outlineLevel="1">
      <c r="A325" s="17" t="s">
        <v>636</v>
      </c>
      <c r="B325" s="34" t="s">
        <v>403</v>
      </c>
      <c r="C325" s="126" t="s">
        <v>207</v>
      </c>
      <c r="D325" s="117" t="s">
        <v>586</v>
      </c>
      <c r="E325" s="123" t="s">
        <v>721</v>
      </c>
      <c r="F325" s="36" t="s">
        <v>599</v>
      </c>
      <c r="G325" s="119">
        <v>3</v>
      </c>
      <c r="H325" s="23"/>
      <c r="I325" s="120">
        <f t="shared" si="29"/>
        <v>0</v>
      </c>
      <c r="J325" s="120">
        <f t="shared" si="30"/>
        <v>0</v>
      </c>
    </row>
    <row r="326" spans="1:10" ht="12.95" customHeight="1" outlineLevel="1">
      <c r="A326" s="17" t="s">
        <v>636</v>
      </c>
      <c r="B326" s="34" t="s">
        <v>404</v>
      </c>
      <c r="C326" s="126" t="s">
        <v>211</v>
      </c>
      <c r="D326" s="117" t="s">
        <v>586</v>
      </c>
      <c r="E326" s="123" t="s">
        <v>723</v>
      </c>
      <c r="F326" s="36" t="s">
        <v>599</v>
      </c>
      <c r="G326" s="119">
        <v>1</v>
      </c>
      <c r="H326" s="23"/>
      <c r="I326" s="120">
        <f t="shared" si="29"/>
        <v>0</v>
      </c>
      <c r="J326" s="120">
        <f t="shared" si="30"/>
        <v>0</v>
      </c>
    </row>
    <row r="327" spans="1:10" ht="12.95" customHeight="1" outlineLevel="1">
      <c r="A327" s="17" t="s">
        <v>636</v>
      </c>
      <c r="B327" s="34" t="s">
        <v>405</v>
      </c>
      <c r="C327" s="126" t="s">
        <v>213</v>
      </c>
      <c r="D327" s="117" t="s">
        <v>586</v>
      </c>
      <c r="E327" s="123" t="s">
        <v>724</v>
      </c>
      <c r="F327" s="36" t="s">
        <v>599</v>
      </c>
      <c r="G327" s="119">
        <v>1</v>
      </c>
      <c r="H327" s="23"/>
      <c r="I327" s="120">
        <f t="shared" si="29"/>
        <v>0</v>
      </c>
      <c r="J327" s="120">
        <f t="shared" si="30"/>
        <v>0</v>
      </c>
    </row>
    <row r="328" spans="1:10" ht="12.95" customHeight="1" outlineLevel="1">
      <c r="A328" s="17" t="s">
        <v>636</v>
      </c>
      <c r="B328" s="34" t="s">
        <v>406</v>
      </c>
      <c r="C328" s="126" t="s">
        <v>407</v>
      </c>
      <c r="D328" s="117" t="s">
        <v>586</v>
      </c>
      <c r="E328" s="123" t="s">
        <v>791</v>
      </c>
      <c r="F328" s="36" t="s">
        <v>599</v>
      </c>
      <c r="G328" s="119">
        <v>2</v>
      </c>
      <c r="H328" s="23"/>
      <c r="I328" s="120">
        <f t="shared" si="29"/>
        <v>0</v>
      </c>
      <c r="J328" s="120">
        <f t="shared" si="30"/>
        <v>0</v>
      </c>
    </row>
    <row r="329" spans="1:10" ht="12.95" customHeight="1" outlineLevel="1">
      <c r="A329" s="17" t="s">
        <v>636</v>
      </c>
      <c r="B329" s="373" t="s">
        <v>408</v>
      </c>
      <c r="C329" s="356" t="s">
        <v>409</v>
      </c>
      <c r="D329" s="363" t="s">
        <v>586</v>
      </c>
      <c r="E329" s="122" t="s">
        <v>792</v>
      </c>
      <c r="F329" s="365" t="s">
        <v>654</v>
      </c>
      <c r="G329" s="359">
        <f>0.6*1</f>
        <v>0.6</v>
      </c>
      <c r="H329" s="359"/>
      <c r="I329" s="344">
        <f t="shared" si="29"/>
        <v>0</v>
      </c>
      <c r="J329" s="344">
        <f>ROUND(G329*I329,2)</f>
        <v>0</v>
      </c>
    </row>
    <row r="330" spans="1:10" ht="12.95" customHeight="1" outlineLevel="1">
      <c r="A330" s="17" t="s">
        <v>646</v>
      </c>
      <c r="B330" s="374"/>
      <c r="C330" s="356"/>
      <c r="D330" s="364"/>
      <c r="E330" s="123" t="s">
        <v>410</v>
      </c>
      <c r="F330" s="366"/>
      <c r="G330" s="360"/>
      <c r="H330" s="360"/>
      <c r="I330" s="345"/>
      <c r="J330" s="345"/>
    </row>
    <row r="331" spans="1:10" ht="12.95" customHeight="1" outlineLevel="1">
      <c r="A331" s="17" t="s">
        <v>636</v>
      </c>
      <c r="B331" s="34" t="s">
        <v>411</v>
      </c>
      <c r="C331" s="126" t="s">
        <v>412</v>
      </c>
      <c r="D331" s="117" t="s">
        <v>586</v>
      </c>
      <c r="E331" s="123" t="s">
        <v>793</v>
      </c>
      <c r="F331" s="36" t="s">
        <v>599</v>
      </c>
      <c r="G331" s="119">
        <v>1</v>
      </c>
      <c r="H331" s="23"/>
      <c r="I331" s="120">
        <f t="shared" si="29"/>
        <v>0</v>
      </c>
      <c r="J331" s="120">
        <f t="shared" ref="J331" si="31">ROUND(G331*I331,2)</f>
        <v>0</v>
      </c>
    </row>
    <row r="332" spans="1:10" ht="12.95" customHeight="1" outlineLevel="1">
      <c r="A332" s="17" t="s">
        <v>636</v>
      </c>
      <c r="B332" s="34" t="s">
        <v>413</v>
      </c>
      <c r="C332" s="126" t="s">
        <v>414</v>
      </c>
      <c r="D332" s="117" t="s">
        <v>586</v>
      </c>
      <c r="E332" s="123" t="s">
        <v>794</v>
      </c>
      <c r="F332" s="36" t="s">
        <v>599</v>
      </c>
      <c r="G332" s="119">
        <v>3</v>
      </c>
      <c r="H332" s="23"/>
      <c r="I332" s="120">
        <f t="shared" si="29"/>
        <v>0</v>
      </c>
      <c r="J332" s="120">
        <f t="shared" si="30"/>
        <v>0</v>
      </c>
    </row>
    <row r="333" spans="1:10" ht="12.95" customHeight="1" outlineLevel="1">
      <c r="A333" s="17" t="s">
        <v>636</v>
      </c>
      <c r="B333" s="34" t="s">
        <v>415</v>
      </c>
      <c r="C333" s="126" t="s">
        <v>416</v>
      </c>
      <c r="D333" s="117" t="s">
        <v>586</v>
      </c>
      <c r="E333" s="123" t="s">
        <v>795</v>
      </c>
      <c r="F333" s="36" t="s">
        <v>599</v>
      </c>
      <c r="G333" s="119">
        <v>2</v>
      </c>
      <c r="H333" s="23"/>
      <c r="I333" s="120">
        <f t="shared" si="29"/>
        <v>0</v>
      </c>
      <c r="J333" s="120">
        <f t="shared" si="30"/>
        <v>0</v>
      </c>
    </row>
    <row r="334" spans="1:10" ht="12.95" customHeight="1" outlineLevel="1">
      <c r="A334" s="17" t="s">
        <v>636</v>
      </c>
      <c r="B334" s="34" t="s">
        <v>417</v>
      </c>
      <c r="C334" s="126" t="s">
        <v>223</v>
      </c>
      <c r="D334" s="117" t="s">
        <v>586</v>
      </c>
      <c r="E334" s="123" t="s">
        <v>729</v>
      </c>
      <c r="F334" s="36" t="s">
        <v>599</v>
      </c>
      <c r="G334" s="119">
        <v>1</v>
      </c>
      <c r="H334" s="23"/>
      <c r="I334" s="120">
        <f t="shared" si="29"/>
        <v>0</v>
      </c>
      <c r="J334" s="120">
        <f t="shared" si="30"/>
        <v>0</v>
      </c>
    </row>
    <row r="335" spans="1:10" ht="12.95" customHeight="1" outlineLevel="1">
      <c r="A335" s="17" t="s">
        <v>636</v>
      </c>
      <c r="B335" s="34" t="s">
        <v>418</v>
      </c>
      <c r="C335" s="126" t="s">
        <v>225</v>
      </c>
      <c r="D335" s="117" t="s">
        <v>586</v>
      </c>
      <c r="E335" s="123" t="s">
        <v>730</v>
      </c>
      <c r="F335" s="36" t="s">
        <v>599</v>
      </c>
      <c r="G335" s="119">
        <v>1</v>
      </c>
      <c r="H335" s="23"/>
      <c r="I335" s="120">
        <f t="shared" si="29"/>
        <v>0</v>
      </c>
      <c r="J335" s="120">
        <f t="shared" si="30"/>
        <v>0</v>
      </c>
    </row>
    <row r="336" spans="1:10" ht="12.95" customHeight="1" outlineLevel="1">
      <c r="A336" s="17" t="s">
        <v>636</v>
      </c>
      <c r="B336" s="34" t="s">
        <v>419</v>
      </c>
      <c r="C336" s="126" t="s">
        <v>420</v>
      </c>
      <c r="D336" s="117" t="s">
        <v>586</v>
      </c>
      <c r="E336" s="123" t="s">
        <v>796</v>
      </c>
      <c r="F336" s="36" t="s">
        <v>686</v>
      </c>
      <c r="G336" s="119">
        <v>3</v>
      </c>
      <c r="H336" s="23"/>
      <c r="I336" s="120">
        <f t="shared" si="29"/>
        <v>0</v>
      </c>
      <c r="J336" s="120">
        <f t="shared" si="30"/>
        <v>0</v>
      </c>
    </row>
    <row r="337" spans="1:10" outlineLevel="1">
      <c r="A337" s="17" t="s">
        <v>636</v>
      </c>
      <c r="B337" s="34" t="s">
        <v>421</v>
      </c>
      <c r="C337" s="126" t="s">
        <v>422</v>
      </c>
      <c r="D337" s="117" t="s">
        <v>586</v>
      </c>
      <c r="E337" s="123" t="s">
        <v>797</v>
      </c>
      <c r="F337" s="36" t="s">
        <v>599</v>
      </c>
      <c r="G337" s="119">
        <v>1</v>
      </c>
      <c r="H337" s="23"/>
      <c r="I337" s="120">
        <f t="shared" si="29"/>
        <v>0</v>
      </c>
      <c r="J337" s="120">
        <f t="shared" si="30"/>
        <v>0</v>
      </c>
    </row>
    <row r="338" spans="1:10" outlineLevel="1">
      <c r="A338" s="17" t="s">
        <v>643</v>
      </c>
      <c r="B338" s="34" t="s">
        <v>423</v>
      </c>
      <c r="C338" s="137">
        <v>814103</v>
      </c>
      <c r="D338" s="117" t="s">
        <v>644</v>
      </c>
      <c r="E338" s="123" t="s">
        <v>733</v>
      </c>
      <c r="F338" s="36" t="s">
        <v>685</v>
      </c>
      <c r="G338" s="119">
        <v>1</v>
      </c>
      <c r="H338" s="23"/>
      <c r="I338" s="120">
        <f t="shared" si="29"/>
        <v>0</v>
      </c>
      <c r="J338" s="120">
        <f t="shared" si="30"/>
        <v>0</v>
      </c>
    </row>
    <row r="339" spans="1:10" ht="12.95" customHeight="1" outlineLevel="1">
      <c r="A339" s="17" t="s">
        <v>636</v>
      </c>
      <c r="B339" s="34" t="s">
        <v>424</v>
      </c>
      <c r="C339" s="127" t="s">
        <v>425</v>
      </c>
      <c r="D339" s="117" t="s">
        <v>586</v>
      </c>
      <c r="E339" s="123" t="s">
        <v>798</v>
      </c>
      <c r="F339" s="36" t="s">
        <v>599</v>
      </c>
      <c r="G339" s="119">
        <v>1</v>
      </c>
      <c r="H339" s="23"/>
      <c r="I339" s="120">
        <f t="shared" si="29"/>
        <v>0</v>
      </c>
      <c r="J339" s="120">
        <f t="shared" si="30"/>
        <v>0</v>
      </c>
    </row>
    <row r="340" spans="1:10" ht="12.95" customHeight="1" outlineLevel="1">
      <c r="A340" s="17" t="s">
        <v>643</v>
      </c>
      <c r="B340" s="83" t="s">
        <v>426</v>
      </c>
      <c r="C340" s="148">
        <v>808047</v>
      </c>
      <c r="D340" s="117" t="s">
        <v>644</v>
      </c>
      <c r="E340" s="123" t="s">
        <v>731</v>
      </c>
      <c r="F340" s="36" t="s">
        <v>685</v>
      </c>
      <c r="G340" s="119">
        <v>2</v>
      </c>
      <c r="H340" s="23"/>
      <c r="I340" s="120">
        <f t="shared" si="29"/>
        <v>0</v>
      </c>
      <c r="J340" s="120">
        <f t="shared" si="30"/>
        <v>0</v>
      </c>
    </row>
    <row r="341" spans="1:10" ht="12.95" customHeight="1" outlineLevel="1">
      <c r="A341" s="17" t="s">
        <v>643</v>
      </c>
      <c r="B341" s="83" t="s">
        <v>427</v>
      </c>
      <c r="C341" s="148">
        <v>403002</v>
      </c>
      <c r="D341" s="117" t="s">
        <v>644</v>
      </c>
      <c r="E341" s="123" t="s">
        <v>734</v>
      </c>
      <c r="F341" s="36" t="s">
        <v>683</v>
      </c>
      <c r="G341" s="119">
        <f>3*1.3</f>
        <v>3.9000000000000004</v>
      </c>
      <c r="H341" s="23"/>
      <c r="I341" s="120">
        <f t="shared" si="29"/>
        <v>0</v>
      </c>
      <c r="J341" s="120">
        <f t="shared" si="30"/>
        <v>0</v>
      </c>
    </row>
    <row r="342" spans="1:10" ht="12.95" customHeight="1" outlineLevel="1">
      <c r="A342" s="17" t="s">
        <v>643</v>
      </c>
      <c r="B342" s="83" t="s">
        <v>428</v>
      </c>
      <c r="C342" s="148">
        <v>403003</v>
      </c>
      <c r="D342" s="117" t="s">
        <v>644</v>
      </c>
      <c r="E342" s="123" t="s">
        <v>735</v>
      </c>
      <c r="F342" s="36" t="s">
        <v>683</v>
      </c>
      <c r="G342" s="119">
        <v>3</v>
      </c>
      <c r="H342" s="23"/>
      <c r="I342" s="120">
        <f t="shared" si="29"/>
        <v>0</v>
      </c>
      <c r="J342" s="120">
        <f t="shared" si="30"/>
        <v>0</v>
      </c>
    </row>
    <row r="343" spans="1:10" ht="12.75" customHeight="1" outlineLevel="1">
      <c r="B343" s="20" t="s">
        <v>50</v>
      </c>
      <c r="C343" s="28"/>
      <c r="D343" s="20"/>
      <c r="E343" s="22"/>
      <c r="F343" s="22"/>
      <c r="G343" s="23"/>
      <c r="H343" s="25"/>
      <c r="I343" s="22"/>
      <c r="J343" s="24">
        <f>SUM(J309:J342)</f>
        <v>0</v>
      </c>
    </row>
    <row r="344" spans="1:10" ht="12.95" customHeight="1">
      <c r="A344" s="16" t="s">
        <v>636</v>
      </c>
      <c r="B344" s="20" t="s">
        <v>429</v>
      </c>
      <c r="C344" s="132">
        <v>900000</v>
      </c>
      <c r="D344" s="114"/>
      <c r="E344" s="115" t="s">
        <v>651</v>
      </c>
      <c r="F344" s="22"/>
      <c r="G344" s="23"/>
      <c r="H344" s="25"/>
      <c r="I344" s="22"/>
      <c r="J344" s="24"/>
    </row>
    <row r="345" spans="1:10" ht="12.95" customHeight="1" outlineLevel="1">
      <c r="A345" s="17" t="s">
        <v>646</v>
      </c>
      <c r="B345" s="83"/>
      <c r="C345" s="45"/>
      <c r="D345" s="117"/>
      <c r="E345" s="38" t="s">
        <v>232</v>
      </c>
      <c r="F345" s="36"/>
      <c r="G345" s="40"/>
      <c r="H345" s="23"/>
      <c r="I345" s="120"/>
      <c r="J345" s="120"/>
    </row>
    <row r="346" spans="1:10" outlineLevel="1">
      <c r="A346" s="17" t="s">
        <v>636</v>
      </c>
      <c r="B346" s="83" t="s">
        <v>430</v>
      </c>
      <c r="C346" s="37" t="s">
        <v>245</v>
      </c>
      <c r="D346" s="117" t="s">
        <v>586</v>
      </c>
      <c r="E346" s="123" t="s">
        <v>742</v>
      </c>
      <c r="F346" s="36" t="s">
        <v>599</v>
      </c>
      <c r="G346" s="40">
        <v>4</v>
      </c>
      <c r="H346" s="23"/>
      <c r="I346" s="120">
        <f>H346*$J$9</f>
        <v>0</v>
      </c>
      <c r="J346" s="120">
        <f>ROUND(G346*I346,2)</f>
        <v>0</v>
      </c>
    </row>
    <row r="347" spans="1:10" outlineLevel="1">
      <c r="A347" s="17" t="s">
        <v>636</v>
      </c>
      <c r="B347" s="83" t="s">
        <v>431</v>
      </c>
      <c r="C347" s="37" t="s">
        <v>247</v>
      </c>
      <c r="D347" s="117" t="s">
        <v>586</v>
      </c>
      <c r="E347" s="123" t="s">
        <v>743</v>
      </c>
      <c r="F347" s="36" t="s">
        <v>599</v>
      </c>
      <c r="G347" s="40">
        <v>4</v>
      </c>
      <c r="H347" s="23"/>
      <c r="I347" s="120">
        <f t="shared" ref="I347:I357" si="32">H347*$J$9</f>
        <v>0</v>
      </c>
      <c r="J347" s="120">
        <f t="shared" ref="J347:J357" si="33">ROUND(G347*I347,2)</f>
        <v>0</v>
      </c>
    </row>
    <row r="348" spans="1:10" ht="25.5" outlineLevel="1">
      <c r="A348" s="17" t="s">
        <v>636</v>
      </c>
      <c r="B348" s="83" t="s">
        <v>432</v>
      </c>
      <c r="C348" s="41" t="s">
        <v>249</v>
      </c>
      <c r="D348" s="117" t="s">
        <v>586</v>
      </c>
      <c r="E348" s="123" t="s">
        <v>744</v>
      </c>
      <c r="F348" s="36" t="s">
        <v>599</v>
      </c>
      <c r="G348" s="40">
        <v>6</v>
      </c>
      <c r="H348" s="23"/>
      <c r="I348" s="120">
        <f t="shared" si="32"/>
        <v>0</v>
      </c>
      <c r="J348" s="120">
        <f t="shared" si="33"/>
        <v>0</v>
      </c>
    </row>
    <row r="349" spans="1:10" ht="25.5" outlineLevel="1">
      <c r="A349" s="17" t="s">
        <v>636</v>
      </c>
      <c r="B349" s="83" t="s">
        <v>433</v>
      </c>
      <c r="C349" s="41" t="s">
        <v>251</v>
      </c>
      <c r="D349" s="117" t="s">
        <v>586</v>
      </c>
      <c r="E349" s="123" t="s">
        <v>745</v>
      </c>
      <c r="F349" s="36" t="s">
        <v>599</v>
      </c>
      <c r="G349" s="40">
        <v>6</v>
      </c>
      <c r="H349" s="23"/>
      <c r="I349" s="120">
        <f t="shared" si="32"/>
        <v>0</v>
      </c>
      <c r="J349" s="120">
        <f t="shared" si="33"/>
        <v>0</v>
      </c>
    </row>
    <row r="350" spans="1:10" outlineLevel="1">
      <c r="A350" s="17" t="s">
        <v>636</v>
      </c>
      <c r="B350" s="83" t="s">
        <v>434</v>
      </c>
      <c r="C350" s="41" t="s">
        <v>253</v>
      </c>
      <c r="D350" s="117" t="s">
        <v>586</v>
      </c>
      <c r="E350" s="123" t="s">
        <v>746</v>
      </c>
      <c r="F350" s="36" t="s">
        <v>599</v>
      </c>
      <c r="G350" s="40">
        <v>12</v>
      </c>
      <c r="H350" s="23"/>
      <c r="I350" s="120">
        <f t="shared" si="32"/>
        <v>0</v>
      </c>
      <c r="J350" s="120">
        <f t="shared" si="33"/>
        <v>0</v>
      </c>
    </row>
    <row r="351" spans="1:10" ht="25.5" outlineLevel="1">
      <c r="A351" s="17" t="s">
        <v>636</v>
      </c>
      <c r="B351" s="83" t="s">
        <v>435</v>
      </c>
      <c r="C351" s="41" t="s">
        <v>255</v>
      </c>
      <c r="D351" s="117" t="s">
        <v>586</v>
      </c>
      <c r="E351" s="123" t="s">
        <v>747</v>
      </c>
      <c r="F351" s="36" t="s">
        <v>599</v>
      </c>
      <c r="G351" s="40">
        <v>2</v>
      </c>
      <c r="H351" s="23"/>
      <c r="I351" s="120">
        <f t="shared" si="32"/>
        <v>0</v>
      </c>
      <c r="J351" s="120">
        <f t="shared" si="33"/>
        <v>0</v>
      </c>
    </row>
    <row r="352" spans="1:10" ht="12.95" customHeight="1" outlineLevel="1">
      <c r="A352" s="17" t="s">
        <v>636</v>
      </c>
      <c r="B352" s="83" t="s">
        <v>436</v>
      </c>
      <c r="C352" s="37" t="s">
        <v>257</v>
      </c>
      <c r="D352" s="117" t="s">
        <v>586</v>
      </c>
      <c r="E352" s="123" t="s">
        <v>748</v>
      </c>
      <c r="F352" s="36" t="s">
        <v>686</v>
      </c>
      <c r="G352" s="40">
        <v>3</v>
      </c>
      <c r="H352" s="23"/>
      <c r="I352" s="120">
        <f t="shared" si="32"/>
        <v>0</v>
      </c>
      <c r="J352" s="120">
        <f t="shared" si="33"/>
        <v>0</v>
      </c>
    </row>
    <row r="353" spans="1:10" ht="12.75" customHeight="1" outlineLevel="1">
      <c r="A353" s="17" t="s">
        <v>636</v>
      </c>
      <c r="B353" s="83" t="s">
        <v>437</v>
      </c>
      <c r="C353" s="125" t="s">
        <v>438</v>
      </c>
      <c r="D353" s="117" t="s">
        <v>586</v>
      </c>
      <c r="E353" s="123" t="s">
        <v>799</v>
      </c>
      <c r="F353" s="36" t="s">
        <v>599</v>
      </c>
      <c r="G353" s="40">
        <v>6</v>
      </c>
      <c r="H353" s="23"/>
      <c r="I353" s="120">
        <f t="shared" si="32"/>
        <v>0</v>
      </c>
      <c r="J353" s="120">
        <f t="shared" si="33"/>
        <v>0</v>
      </c>
    </row>
    <row r="354" spans="1:10" ht="12.75" customHeight="1" outlineLevel="1">
      <c r="A354" s="17" t="s">
        <v>636</v>
      </c>
      <c r="B354" s="83" t="s">
        <v>439</v>
      </c>
      <c r="C354" s="37" t="s">
        <v>259</v>
      </c>
      <c r="D354" s="117" t="s">
        <v>586</v>
      </c>
      <c r="E354" s="123" t="s">
        <v>749</v>
      </c>
      <c r="F354" s="36" t="s">
        <v>686</v>
      </c>
      <c r="G354" s="40">
        <v>6</v>
      </c>
      <c r="H354" s="23"/>
      <c r="I354" s="120">
        <f t="shared" si="32"/>
        <v>0</v>
      </c>
      <c r="J354" s="120">
        <f t="shared" si="33"/>
        <v>0</v>
      </c>
    </row>
    <row r="355" spans="1:10" ht="12.95" customHeight="1" outlineLevel="1">
      <c r="A355" s="17" t="s">
        <v>636</v>
      </c>
      <c r="B355" s="83" t="s">
        <v>440</v>
      </c>
      <c r="C355" s="37" t="s">
        <v>441</v>
      </c>
      <c r="D355" s="117" t="s">
        <v>586</v>
      </c>
      <c r="E355" s="123" t="s">
        <v>800</v>
      </c>
      <c r="F355" s="36" t="s">
        <v>686</v>
      </c>
      <c r="G355" s="40">
        <v>6</v>
      </c>
      <c r="H355" s="23"/>
      <c r="I355" s="120">
        <f t="shared" si="32"/>
        <v>0</v>
      </c>
      <c r="J355" s="120">
        <f t="shared" si="33"/>
        <v>0</v>
      </c>
    </row>
    <row r="356" spans="1:10" ht="12.75" customHeight="1" outlineLevel="1">
      <c r="A356" s="17" t="s">
        <v>636</v>
      </c>
      <c r="B356" s="83" t="s">
        <v>442</v>
      </c>
      <c r="C356" s="41" t="s">
        <v>263</v>
      </c>
      <c r="D356" s="117" t="s">
        <v>586</v>
      </c>
      <c r="E356" s="123" t="s">
        <v>751</v>
      </c>
      <c r="F356" s="36" t="s">
        <v>599</v>
      </c>
      <c r="G356" s="40">
        <v>6</v>
      </c>
      <c r="H356" s="23"/>
      <c r="I356" s="120">
        <f t="shared" si="32"/>
        <v>0</v>
      </c>
      <c r="J356" s="120">
        <f t="shared" si="33"/>
        <v>0</v>
      </c>
    </row>
    <row r="357" spans="1:10" ht="12.95" customHeight="1" outlineLevel="1">
      <c r="A357" s="17" t="s">
        <v>636</v>
      </c>
      <c r="B357" s="83" t="s">
        <v>443</v>
      </c>
      <c r="C357" s="41" t="s">
        <v>265</v>
      </c>
      <c r="D357" s="117" t="s">
        <v>586</v>
      </c>
      <c r="E357" s="123" t="s">
        <v>752</v>
      </c>
      <c r="F357" s="36" t="s">
        <v>599</v>
      </c>
      <c r="G357" s="40">
        <v>6</v>
      </c>
      <c r="H357" s="23"/>
      <c r="I357" s="120">
        <f t="shared" si="32"/>
        <v>0</v>
      </c>
      <c r="J357" s="120">
        <f t="shared" si="33"/>
        <v>0</v>
      </c>
    </row>
    <row r="358" spans="1:10" ht="12.95" customHeight="1" outlineLevel="1">
      <c r="A358" s="17" t="s">
        <v>646</v>
      </c>
      <c r="B358" s="83"/>
      <c r="C358" s="46"/>
      <c r="D358" s="117"/>
      <c r="E358" s="152" t="s">
        <v>266</v>
      </c>
      <c r="F358" s="36"/>
      <c r="G358" s="161"/>
      <c r="H358" s="23"/>
      <c r="I358" s="120"/>
      <c r="J358" s="120"/>
    </row>
    <row r="359" spans="1:10" ht="12.95" customHeight="1" outlineLevel="1">
      <c r="A359" s="17" t="s">
        <v>636</v>
      </c>
      <c r="B359" s="83" t="s">
        <v>444</v>
      </c>
      <c r="C359" s="45" t="s">
        <v>268</v>
      </c>
      <c r="D359" s="117" t="s">
        <v>586</v>
      </c>
      <c r="E359" s="123" t="s">
        <v>753</v>
      </c>
      <c r="F359" s="36" t="s">
        <v>592</v>
      </c>
      <c r="G359" s="39">
        <v>70</v>
      </c>
      <c r="H359" s="23"/>
      <c r="I359" s="120">
        <f t="shared" ref="I359:I362" si="34">H359*$J$9</f>
        <v>0</v>
      </c>
      <c r="J359" s="120">
        <f t="shared" ref="J359:J362" si="35">ROUND(G359*I359,2)</f>
        <v>0</v>
      </c>
    </row>
    <row r="360" spans="1:10" ht="12.95" customHeight="1" outlineLevel="1">
      <c r="A360" s="17" t="s">
        <v>636</v>
      </c>
      <c r="B360" s="83" t="s">
        <v>445</v>
      </c>
      <c r="C360" s="125" t="s">
        <v>272</v>
      </c>
      <c r="D360" s="117" t="s">
        <v>586</v>
      </c>
      <c r="E360" s="123" t="s">
        <v>755</v>
      </c>
      <c r="F360" s="36" t="s">
        <v>592</v>
      </c>
      <c r="G360" s="39">
        <v>90</v>
      </c>
      <c r="H360" s="23"/>
      <c r="I360" s="120">
        <f t="shared" si="34"/>
        <v>0</v>
      </c>
      <c r="J360" s="120">
        <f t="shared" si="35"/>
        <v>0</v>
      </c>
    </row>
    <row r="361" spans="1:10" ht="12.95" customHeight="1" outlineLevel="1">
      <c r="A361" s="17" t="s">
        <v>636</v>
      </c>
      <c r="B361" s="83" t="s">
        <v>446</v>
      </c>
      <c r="C361" s="125" t="s">
        <v>274</v>
      </c>
      <c r="D361" s="117" t="s">
        <v>586</v>
      </c>
      <c r="E361" s="123" t="s">
        <v>756</v>
      </c>
      <c r="F361" s="36" t="s">
        <v>592</v>
      </c>
      <c r="G361" s="39">
        <v>130</v>
      </c>
      <c r="H361" s="23"/>
      <c r="I361" s="120">
        <f t="shared" si="34"/>
        <v>0</v>
      </c>
      <c r="J361" s="120">
        <f t="shared" si="35"/>
        <v>0</v>
      </c>
    </row>
    <row r="362" spans="1:10" ht="12.95" customHeight="1" outlineLevel="1">
      <c r="A362" s="17" t="s">
        <v>636</v>
      </c>
      <c r="B362" s="83" t="s">
        <v>447</v>
      </c>
      <c r="C362" s="125" t="s">
        <v>448</v>
      </c>
      <c r="D362" s="117" t="s">
        <v>586</v>
      </c>
      <c r="E362" s="123" t="s">
        <v>801</v>
      </c>
      <c r="F362" s="36" t="s">
        <v>592</v>
      </c>
      <c r="G362" s="39">
        <v>30</v>
      </c>
      <c r="H362" s="23"/>
      <c r="I362" s="120">
        <f t="shared" si="34"/>
        <v>0</v>
      </c>
      <c r="J362" s="120">
        <f t="shared" si="35"/>
        <v>0</v>
      </c>
    </row>
    <row r="363" spans="1:10" ht="12.95" customHeight="1" outlineLevel="1">
      <c r="A363" s="17" t="s">
        <v>646</v>
      </c>
      <c r="B363" s="83"/>
      <c r="C363" s="46"/>
      <c r="D363" s="117"/>
      <c r="E363" s="38" t="s">
        <v>275</v>
      </c>
      <c r="F363" s="36"/>
      <c r="G363" s="40"/>
      <c r="H363" s="23"/>
      <c r="I363" s="120"/>
      <c r="J363" s="120"/>
    </row>
    <row r="364" spans="1:10" ht="25.5" outlineLevel="1">
      <c r="A364" s="17" t="s">
        <v>636</v>
      </c>
      <c r="B364" s="83" t="s">
        <v>449</v>
      </c>
      <c r="C364" s="46" t="s">
        <v>450</v>
      </c>
      <c r="D364" s="117" t="s">
        <v>586</v>
      </c>
      <c r="E364" s="123" t="s">
        <v>802</v>
      </c>
      <c r="F364" s="36" t="s">
        <v>599</v>
      </c>
      <c r="G364" s="40">
        <v>1</v>
      </c>
      <c r="H364" s="23"/>
      <c r="I364" s="120">
        <f t="shared" ref="I364:I369" si="36">H364*$J$9</f>
        <v>0</v>
      </c>
      <c r="J364" s="120">
        <f t="shared" ref="J364:J369" si="37">ROUND(G364*I364,2)</f>
        <v>0</v>
      </c>
    </row>
    <row r="365" spans="1:10" ht="12.95" customHeight="1" outlineLevel="1">
      <c r="A365" s="17" t="s">
        <v>636</v>
      </c>
      <c r="B365" s="83" t="s">
        <v>451</v>
      </c>
      <c r="C365" s="41" t="s">
        <v>279</v>
      </c>
      <c r="D365" s="117" t="s">
        <v>586</v>
      </c>
      <c r="E365" s="123" t="s">
        <v>758</v>
      </c>
      <c r="F365" s="36" t="s">
        <v>655</v>
      </c>
      <c r="G365" s="40">
        <v>0.5</v>
      </c>
      <c r="H365" s="23"/>
      <c r="I365" s="120">
        <f t="shared" si="36"/>
        <v>0</v>
      </c>
      <c r="J365" s="120">
        <f t="shared" si="37"/>
        <v>0</v>
      </c>
    </row>
    <row r="366" spans="1:10" ht="12.95" customHeight="1" outlineLevel="1">
      <c r="A366" s="17" t="s">
        <v>636</v>
      </c>
      <c r="B366" s="83" t="s">
        <v>452</v>
      </c>
      <c r="C366" s="45" t="s">
        <v>281</v>
      </c>
      <c r="D366" s="117" t="s">
        <v>586</v>
      </c>
      <c r="E366" s="123" t="s">
        <v>759</v>
      </c>
      <c r="F366" s="36" t="s">
        <v>599</v>
      </c>
      <c r="G366" s="40">
        <v>3</v>
      </c>
      <c r="H366" s="23"/>
      <c r="I366" s="120">
        <f t="shared" si="36"/>
        <v>0</v>
      </c>
      <c r="J366" s="120">
        <f t="shared" si="37"/>
        <v>0</v>
      </c>
    </row>
    <row r="367" spans="1:10" ht="12.95" customHeight="1" outlineLevel="1">
      <c r="A367" s="17" t="s">
        <v>636</v>
      </c>
      <c r="B367" s="83" t="s">
        <v>453</v>
      </c>
      <c r="C367" s="37" t="s">
        <v>283</v>
      </c>
      <c r="D367" s="117" t="s">
        <v>586</v>
      </c>
      <c r="E367" s="123" t="s">
        <v>760</v>
      </c>
      <c r="F367" s="36" t="s">
        <v>599</v>
      </c>
      <c r="G367" s="40">
        <v>2</v>
      </c>
      <c r="H367" s="23"/>
      <c r="I367" s="120">
        <f t="shared" si="36"/>
        <v>0</v>
      </c>
      <c r="J367" s="120">
        <f t="shared" si="37"/>
        <v>0</v>
      </c>
    </row>
    <row r="368" spans="1:10" ht="12.95" customHeight="1" outlineLevel="1">
      <c r="A368" s="17" t="s">
        <v>636</v>
      </c>
      <c r="B368" s="83" t="s">
        <v>454</v>
      </c>
      <c r="C368" s="37" t="s">
        <v>285</v>
      </c>
      <c r="D368" s="117" t="s">
        <v>586</v>
      </c>
      <c r="E368" s="123" t="s">
        <v>761</v>
      </c>
      <c r="F368" s="36" t="s">
        <v>599</v>
      </c>
      <c r="G368" s="40">
        <v>1</v>
      </c>
      <c r="H368" s="23"/>
      <c r="I368" s="120">
        <f t="shared" si="36"/>
        <v>0</v>
      </c>
      <c r="J368" s="120">
        <f t="shared" si="37"/>
        <v>0</v>
      </c>
    </row>
    <row r="369" spans="1:10" ht="12.95" customHeight="1" outlineLevel="1">
      <c r="A369" s="17" t="s">
        <v>636</v>
      </c>
      <c r="B369" s="83" t="s">
        <v>455</v>
      </c>
      <c r="C369" s="37" t="s">
        <v>456</v>
      </c>
      <c r="D369" s="117" t="s">
        <v>586</v>
      </c>
      <c r="E369" s="123" t="s">
        <v>803</v>
      </c>
      <c r="F369" s="36" t="s">
        <v>599</v>
      </c>
      <c r="G369" s="40">
        <v>2</v>
      </c>
      <c r="H369" s="23"/>
      <c r="I369" s="120">
        <f t="shared" si="36"/>
        <v>0</v>
      </c>
      <c r="J369" s="120">
        <f t="shared" si="37"/>
        <v>0</v>
      </c>
    </row>
    <row r="370" spans="1:10" ht="12.75" customHeight="1" outlineLevel="1">
      <c r="B370" s="20" t="s">
        <v>50</v>
      </c>
      <c r="C370" s="28"/>
      <c r="D370" s="20"/>
      <c r="E370" s="22"/>
      <c r="F370" s="22"/>
      <c r="G370" s="23"/>
      <c r="H370" s="25"/>
      <c r="I370" s="22"/>
      <c r="J370" s="24">
        <f>SUM(J345:J369)</f>
        <v>0</v>
      </c>
    </row>
    <row r="371" spans="1:10" ht="12.95" customHeight="1">
      <c r="A371" s="16" t="s">
        <v>636</v>
      </c>
      <c r="B371" s="20" t="s">
        <v>457</v>
      </c>
      <c r="C371" s="132">
        <v>1100000</v>
      </c>
      <c r="D371" s="114"/>
      <c r="E371" s="115" t="s">
        <v>647</v>
      </c>
      <c r="F371" s="22"/>
      <c r="G371" s="23"/>
      <c r="H371" s="25"/>
      <c r="I371" s="22"/>
      <c r="J371" s="24"/>
    </row>
    <row r="372" spans="1:10" ht="12.95" customHeight="1" outlineLevel="1">
      <c r="A372" s="17" t="s">
        <v>636</v>
      </c>
      <c r="B372" s="83" t="s">
        <v>458</v>
      </c>
      <c r="C372" s="126" t="s">
        <v>87</v>
      </c>
      <c r="D372" s="117" t="s">
        <v>586</v>
      </c>
      <c r="E372" s="123" t="s">
        <v>657</v>
      </c>
      <c r="F372" s="36" t="s">
        <v>32</v>
      </c>
      <c r="G372" s="119">
        <v>0.53250000000000008</v>
      </c>
      <c r="H372" s="23"/>
      <c r="I372" s="120">
        <f>H372*$J$9</f>
        <v>0</v>
      </c>
      <c r="J372" s="120">
        <f>ROUND(G372*I372,2)</f>
        <v>0</v>
      </c>
    </row>
    <row r="373" spans="1:10" outlineLevel="1">
      <c r="A373" s="17" t="s">
        <v>636</v>
      </c>
      <c r="B373" s="83" t="s">
        <v>459</v>
      </c>
      <c r="C373" s="133" t="s">
        <v>89</v>
      </c>
      <c r="D373" s="117" t="s">
        <v>586</v>
      </c>
      <c r="E373" s="123" t="s">
        <v>658</v>
      </c>
      <c r="F373" s="36" t="s">
        <v>654</v>
      </c>
      <c r="G373" s="119">
        <v>21.3</v>
      </c>
      <c r="H373" s="23"/>
      <c r="I373" s="120">
        <f>H373*$J$9</f>
        <v>0</v>
      </c>
      <c r="J373" s="120">
        <f>ROUND(G373*I373,2)</f>
        <v>0</v>
      </c>
    </row>
    <row r="374" spans="1:10" ht="12.75" customHeight="1" outlineLevel="1">
      <c r="B374" s="20" t="s">
        <v>50</v>
      </c>
      <c r="C374" s="28"/>
      <c r="D374" s="20"/>
      <c r="E374" s="22"/>
      <c r="F374" s="22"/>
      <c r="G374" s="23"/>
      <c r="H374" s="25"/>
      <c r="I374" s="22"/>
      <c r="J374" s="24">
        <f>SUM(J372:J373)</f>
        <v>0</v>
      </c>
    </row>
    <row r="375" spans="1:10" ht="12.95" customHeight="1">
      <c r="A375" s="16" t="s">
        <v>636</v>
      </c>
      <c r="B375" s="20" t="s">
        <v>460</v>
      </c>
      <c r="C375" s="162">
        <v>1200000</v>
      </c>
      <c r="D375" s="114"/>
      <c r="E375" s="115" t="s">
        <v>641</v>
      </c>
      <c r="F375" s="22"/>
      <c r="G375" s="23"/>
      <c r="H375" s="25"/>
      <c r="I375" s="22"/>
      <c r="J375" s="24"/>
    </row>
    <row r="376" spans="1:10" ht="12.95" customHeight="1" outlineLevel="1">
      <c r="A376" s="17" t="s">
        <v>636</v>
      </c>
      <c r="B376" s="83" t="s">
        <v>461</v>
      </c>
      <c r="C376" s="126" t="s">
        <v>67</v>
      </c>
      <c r="D376" s="117" t="s">
        <v>586</v>
      </c>
      <c r="E376" s="123" t="s">
        <v>675</v>
      </c>
      <c r="F376" s="36" t="s">
        <v>654</v>
      </c>
      <c r="G376" s="119">
        <f>G298*2+G295+10</f>
        <v>248.4</v>
      </c>
      <c r="H376" s="23"/>
      <c r="I376" s="120">
        <f>H376*$J$9</f>
        <v>0</v>
      </c>
      <c r="J376" s="120">
        <f>ROUND(G376*I376,2)</f>
        <v>0</v>
      </c>
    </row>
    <row r="377" spans="1:10" ht="12.95" customHeight="1" outlineLevel="1">
      <c r="A377" s="17" t="s">
        <v>636</v>
      </c>
      <c r="B377" s="83" t="s">
        <v>462</v>
      </c>
      <c r="C377" s="131" t="s">
        <v>300</v>
      </c>
      <c r="D377" s="117" t="s">
        <v>586</v>
      </c>
      <c r="E377" s="123" t="s">
        <v>765</v>
      </c>
      <c r="F377" s="36" t="s">
        <v>654</v>
      </c>
      <c r="G377" s="119">
        <f>G376-G378</f>
        <v>205.56</v>
      </c>
      <c r="H377" s="23"/>
      <c r="I377" s="120">
        <f>H377*$J$9</f>
        <v>0</v>
      </c>
      <c r="J377" s="120">
        <f>ROUND(G377*I377,2)</f>
        <v>0</v>
      </c>
    </row>
    <row r="378" spans="1:10" ht="12.95" customHeight="1" outlineLevel="1">
      <c r="A378" s="17" t="s">
        <v>636</v>
      </c>
      <c r="B378" s="83" t="s">
        <v>463</v>
      </c>
      <c r="C378" s="126" t="s">
        <v>69</v>
      </c>
      <c r="D378" s="117" t="s">
        <v>586</v>
      </c>
      <c r="E378" s="123" t="s">
        <v>676</v>
      </c>
      <c r="F378" s="36" t="s">
        <v>654</v>
      </c>
      <c r="G378" s="119">
        <f>G379</f>
        <v>42.839999999999996</v>
      </c>
      <c r="H378" s="23"/>
      <c r="I378" s="120">
        <f>H378*$J$9</f>
        <v>0</v>
      </c>
      <c r="J378" s="120">
        <f>ROUND(G378*I378,2)</f>
        <v>0</v>
      </c>
    </row>
    <row r="379" spans="1:10" ht="25.5" outlineLevel="1">
      <c r="A379" s="17" t="s">
        <v>636</v>
      </c>
      <c r="B379" s="83" t="s">
        <v>464</v>
      </c>
      <c r="C379" s="126" t="s">
        <v>303</v>
      </c>
      <c r="D379" s="117" t="s">
        <v>586</v>
      </c>
      <c r="E379" s="123" t="s">
        <v>766</v>
      </c>
      <c r="F379" s="36" t="s">
        <v>654</v>
      </c>
      <c r="G379" s="119">
        <f>4*3*2.8+4.2*2.2</f>
        <v>42.839999999999996</v>
      </c>
      <c r="H379" s="23"/>
      <c r="I379" s="120">
        <f>H379*$J$9</f>
        <v>0</v>
      </c>
      <c r="J379" s="120">
        <f>ROUND(G379*I379,2)</f>
        <v>0</v>
      </c>
    </row>
    <row r="380" spans="1:10" outlineLevel="1">
      <c r="A380" s="17" t="s">
        <v>636</v>
      </c>
      <c r="B380" s="83" t="s">
        <v>465</v>
      </c>
      <c r="C380" s="131" t="s">
        <v>305</v>
      </c>
      <c r="D380" s="117" t="s">
        <v>586</v>
      </c>
      <c r="E380" s="123" t="s">
        <v>767</v>
      </c>
      <c r="F380" s="36" t="s">
        <v>654</v>
      </c>
      <c r="G380" s="119">
        <f>G379</f>
        <v>42.839999999999996</v>
      </c>
      <c r="H380" s="23"/>
      <c r="I380" s="120">
        <f>H380*$J$9</f>
        <v>0</v>
      </c>
      <c r="J380" s="120">
        <f>ROUND(G380*I380,2)</f>
        <v>0</v>
      </c>
    </row>
    <row r="381" spans="1:10" ht="12.75" customHeight="1" outlineLevel="1">
      <c r="B381" s="20" t="s">
        <v>50</v>
      </c>
      <c r="C381" s="28"/>
      <c r="D381" s="20"/>
      <c r="E381" s="22"/>
      <c r="F381" s="22"/>
      <c r="G381" s="23"/>
      <c r="H381" s="25"/>
      <c r="I381" s="22"/>
      <c r="J381" s="24">
        <f>SUM(J376:J380)</f>
        <v>0</v>
      </c>
    </row>
    <row r="382" spans="1:10" ht="12.95" customHeight="1">
      <c r="A382" s="16" t="s">
        <v>636</v>
      </c>
      <c r="B382" s="20" t="s">
        <v>466</v>
      </c>
      <c r="C382" s="130">
        <v>1300000</v>
      </c>
      <c r="D382" s="114"/>
      <c r="E382" s="115" t="s">
        <v>642</v>
      </c>
      <c r="F382" s="22"/>
      <c r="G382" s="23"/>
      <c r="H382" s="25"/>
      <c r="I382" s="22"/>
      <c r="J382" s="24"/>
    </row>
    <row r="383" spans="1:10" ht="12.95" customHeight="1" outlineLevel="1">
      <c r="A383" s="17" t="s">
        <v>643</v>
      </c>
      <c r="B383" s="83" t="s">
        <v>467</v>
      </c>
      <c r="C383" s="137">
        <v>106001</v>
      </c>
      <c r="D383" s="117" t="s">
        <v>644</v>
      </c>
      <c r="E383" s="123" t="s">
        <v>677</v>
      </c>
      <c r="F383" s="36" t="s">
        <v>656</v>
      </c>
      <c r="G383" s="119">
        <f>G387+1.8*9.6+25</f>
        <v>78.28</v>
      </c>
      <c r="H383" s="23"/>
      <c r="I383" s="120">
        <f t="shared" ref="I383:I389" si="38">H383*$J$9</f>
        <v>0</v>
      </c>
      <c r="J383" s="120">
        <f t="shared" ref="J383:J389" si="39">ROUND(G383*I383,2)</f>
        <v>0</v>
      </c>
    </row>
    <row r="384" spans="1:10" ht="12.95" customHeight="1" outlineLevel="1">
      <c r="A384" s="17" t="s">
        <v>636</v>
      </c>
      <c r="B384" s="83" t="s">
        <v>468</v>
      </c>
      <c r="C384" s="126" t="s">
        <v>49</v>
      </c>
      <c r="D384" s="117" t="s">
        <v>586</v>
      </c>
      <c r="E384" s="123" t="s">
        <v>671</v>
      </c>
      <c r="F384" s="36" t="s">
        <v>32</v>
      </c>
      <c r="G384" s="119">
        <f>G383*0.05</f>
        <v>3.9140000000000001</v>
      </c>
      <c r="H384" s="23"/>
      <c r="I384" s="120">
        <f t="shared" si="38"/>
        <v>0</v>
      </c>
      <c r="J384" s="120">
        <f t="shared" si="39"/>
        <v>0</v>
      </c>
    </row>
    <row r="385" spans="1:10" ht="12.95" customHeight="1" outlineLevel="1">
      <c r="A385" s="17" t="s">
        <v>636</v>
      </c>
      <c r="B385" s="83" t="s">
        <v>469</v>
      </c>
      <c r="C385" s="126" t="s">
        <v>74</v>
      </c>
      <c r="D385" s="117" t="s">
        <v>586</v>
      </c>
      <c r="E385" s="123" t="s">
        <v>678</v>
      </c>
      <c r="F385" s="36" t="s">
        <v>32</v>
      </c>
      <c r="G385" s="119">
        <f>G383*0.07*1.1</f>
        <v>6.0275600000000011</v>
      </c>
      <c r="H385" s="23"/>
      <c r="I385" s="120">
        <f t="shared" si="38"/>
        <v>0</v>
      </c>
      <c r="J385" s="120">
        <f t="shared" si="39"/>
        <v>0</v>
      </c>
    </row>
    <row r="386" spans="1:10" ht="12.95" customHeight="1" outlineLevel="1">
      <c r="A386" s="17" t="s">
        <v>636</v>
      </c>
      <c r="B386" s="83" t="s">
        <v>470</v>
      </c>
      <c r="C386" s="126" t="s">
        <v>311</v>
      </c>
      <c r="D386" s="117" t="s">
        <v>586</v>
      </c>
      <c r="E386" s="123" t="s">
        <v>768</v>
      </c>
      <c r="F386" s="36" t="s">
        <v>654</v>
      </c>
      <c r="G386" s="119">
        <f>G387</f>
        <v>36</v>
      </c>
      <c r="H386" s="23"/>
      <c r="I386" s="120">
        <f t="shared" si="38"/>
        <v>0</v>
      </c>
      <c r="J386" s="120">
        <f t="shared" si="39"/>
        <v>0</v>
      </c>
    </row>
    <row r="387" spans="1:10" ht="26.25" customHeight="1" outlineLevel="1">
      <c r="A387" s="17" t="s">
        <v>636</v>
      </c>
      <c r="B387" s="83" t="s">
        <v>471</v>
      </c>
      <c r="C387" s="126" t="s">
        <v>472</v>
      </c>
      <c r="D387" s="117" t="s">
        <v>586</v>
      </c>
      <c r="E387" s="123" t="s">
        <v>804</v>
      </c>
      <c r="F387" s="36" t="s">
        <v>654</v>
      </c>
      <c r="G387" s="119">
        <f>12*3</f>
        <v>36</v>
      </c>
      <c r="H387" s="23"/>
      <c r="I387" s="120">
        <f t="shared" si="38"/>
        <v>0</v>
      </c>
      <c r="J387" s="120">
        <f t="shared" si="39"/>
        <v>0</v>
      </c>
    </row>
    <row r="388" spans="1:10" ht="26.25" customHeight="1" outlineLevel="1">
      <c r="A388" s="17" t="s">
        <v>636</v>
      </c>
      <c r="B388" s="83" t="s">
        <v>473</v>
      </c>
      <c r="C388" s="126" t="s">
        <v>474</v>
      </c>
      <c r="D388" s="117" t="s">
        <v>586</v>
      </c>
      <c r="E388" s="123" t="s">
        <v>805</v>
      </c>
      <c r="F388" s="36" t="s">
        <v>592</v>
      </c>
      <c r="G388" s="119">
        <v>23.5</v>
      </c>
      <c r="H388" s="23"/>
      <c r="I388" s="120">
        <f t="shared" si="38"/>
        <v>0</v>
      </c>
      <c r="J388" s="120">
        <f t="shared" si="39"/>
        <v>0</v>
      </c>
    </row>
    <row r="389" spans="1:10" ht="12.95" customHeight="1" outlineLevel="1">
      <c r="A389" s="17" t="s">
        <v>636</v>
      </c>
      <c r="B389" s="369" t="s">
        <v>475</v>
      </c>
      <c r="C389" s="371" t="s">
        <v>476</v>
      </c>
      <c r="D389" s="363" t="s">
        <v>586</v>
      </c>
      <c r="E389" s="122" t="s">
        <v>806</v>
      </c>
      <c r="F389" s="354" t="s">
        <v>592</v>
      </c>
      <c r="G389" s="367">
        <f>9*1+1.2*2+0.8</f>
        <v>12.200000000000001</v>
      </c>
      <c r="H389" s="359"/>
      <c r="I389" s="344">
        <f t="shared" si="38"/>
        <v>0</v>
      </c>
      <c r="J389" s="344">
        <f t="shared" si="39"/>
        <v>0</v>
      </c>
    </row>
    <row r="390" spans="1:10" ht="29.25" customHeight="1" outlineLevel="1">
      <c r="A390" s="17" t="s">
        <v>646</v>
      </c>
      <c r="B390" s="370"/>
      <c r="C390" s="372"/>
      <c r="D390" s="364"/>
      <c r="E390" s="123" t="s">
        <v>477</v>
      </c>
      <c r="F390" s="355"/>
      <c r="G390" s="368"/>
      <c r="H390" s="360"/>
      <c r="I390" s="345"/>
      <c r="J390" s="345"/>
    </row>
    <row r="391" spans="1:10" ht="12.95" customHeight="1" outlineLevel="1">
      <c r="B391" s="20" t="s">
        <v>36</v>
      </c>
      <c r="C391" s="28"/>
      <c r="D391" s="20"/>
      <c r="E391" s="22"/>
      <c r="F391" s="22"/>
      <c r="G391" s="23"/>
      <c r="H391" s="25"/>
      <c r="I391" s="22"/>
      <c r="J391" s="24">
        <f>SUM(J383:J390)</f>
        <v>0</v>
      </c>
    </row>
    <row r="392" spans="1:10" ht="12.95" customHeight="1">
      <c r="A392" s="16" t="s">
        <v>636</v>
      </c>
      <c r="B392" s="20" t="s">
        <v>478</v>
      </c>
      <c r="C392" s="132">
        <v>1400000</v>
      </c>
      <c r="D392" s="114"/>
      <c r="E392" s="115" t="s">
        <v>652</v>
      </c>
      <c r="F392" s="22"/>
      <c r="G392" s="23"/>
      <c r="H392" s="25"/>
      <c r="I392" s="22"/>
      <c r="J392" s="24"/>
    </row>
    <row r="393" spans="1:10" ht="12.95" customHeight="1" outlineLevel="1">
      <c r="A393" s="17" t="s">
        <v>636</v>
      </c>
      <c r="B393" s="83" t="s">
        <v>479</v>
      </c>
      <c r="C393" s="131" t="s">
        <v>480</v>
      </c>
      <c r="D393" s="117" t="s">
        <v>586</v>
      </c>
      <c r="E393" s="123" t="s">
        <v>807</v>
      </c>
      <c r="F393" s="36" t="s">
        <v>654</v>
      </c>
      <c r="G393" s="119">
        <f>G302</f>
        <v>4.4000000000000004</v>
      </c>
      <c r="H393" s="23"/>
      <c r="I393" s="120">
        <f>H393*$J$9</f>
        <v>0</v>
      </c>
      <c r="J393" s="120">
        <f>ROUND(G393*I393,2)</f>
        <v>0</v>
      </c>
    </row>
    <row r="394" spans="1:10" ht="12.75" customHeight="1" outlineLevel="1">
      <c r="B394" s="20" t="s">
        <v>50</v>
      </c>
      <c r="C394" s="28"/>
      <c r="D394" s="20"/>
      <c r="E394" s="29"/>
      <c r="F394" s="22"/>
      <c r="G394" s="23"/>
      <c r="H394" s="25"/>
      <c r="I394" s="22"/>
      <c r="J394" s="24">
        <f>SUM(J393:J393)</f>
        <v>0</v>
      </c>
    </row>
    <row r="395" spans="1:10" ht="12.95" customHeight="1">
      <c r="A395" s="16" t="s">
        <v>636</v>
      </c>
      <c r="B395" s="20" t="s">
        <v>481</v>
      </c>
      <c r="C395" s="132">
        <v>1500000</v>
      </c>
      <c r="D395" s="114"/>
      <c r="E395" s="115" t="s">
        <v>653</v>
      </c>
      <c r="F395" s="22"/>
      <c r="G395" s="23"/>
      <c r="H395" s="25"/>
      <c r="I395" s="22"/>
      <c r="J395" s="24"/>
    </row>
    <row r="396" spans="1:10" ht="12.95" customHeight="1" outlineLevel="1">
      <c r="A396" s="17" t="s">
        <v>636</v>
      </c>
      <c r="B396" s="83" t="s">
        <v>482</v>
      </c>
      <c r="C396" s="126" t="s">
        <v>342</v>
      </c>
      <c r="D396" s="117" t="s">
        <v>586</v>
      </c>
      <c r="E396" s="123" t="s">
        <v>782</v>
      </c>
      <c r="F396" s="36" t="s">
        <v>654</v>
      </c>
      <c r="G396" s="119">
        <f>G377*1.3</f>
        <v>267.22800000000001</v>
      </c>
      <c r="H396" s="23"/>
      <c r="I396" s="120">
        <f>H396*$J$9</f>
        <v>0</v>
      </c>
      <c r="J396" s="120">
        <f>ROUND(G396*I396,2)</f>
        <v>0</v>
      </c>
    </row>
    <row r="397" spans="1:10" ht="12.95" customHeight="1" outlineLevel="1">
      <c r="A397" s="17" t="s">
        <v>636</v>
      </c>
      <c r="B397" s="83" t="s">
        <v>483</v>
      </c>
      <c r="C397" s="126" t="s">
        <v>344</v>
      </c>
      <c r="D397" s="117" t="s">
        <v>586</v>
      </c>
      <c r="E397" s="123" t="s">
        <v>783</v>
      </c>
      <c r="F397" s="36" t="s">
        <v>654</v>
      </c>
      <c r="G397" s="119">
        <f>(G301+G302)*3</f>
        <v>46.14</v>
      </c>
      <c r="H397" s="23"/>
      <c r="I397" s="120">
        <f>H397*$J$9</f>
        <v>0</v>
      </c>
      <c r="J397" s="120">
        <f>ROUND(G397*I397,2)</f>
        <v>0</v>
      </c>
    </row>
    <row r="398" spans="1:10" ht="12.95" customHeight="1" outlineLevel="1">
      <c r="A398" s="17" t="s">
        <v>636</v>
      </c>
      <c r="B398" s="83" t="s">
        <v>484</v>
      </c>
      <c r="C398" s="127" t="s">
        <v>346</v>
      </c>
      <c r="D398" s="117" t="s">
        <v>586</v>
      </c>
      <c r="E398" s="123" t="s">
        <v>784</v>
      </c>
      <c r="F398" s="36" t="s">
        <v>654</v>
      </c>
      <c r="G398" s="119">
        <f>G383-G387</f>
        <v>42.28</v>
      </c>
      <c r="H398" s="23"/>
      <c r="I398" s="120">
        <f>H398*$J$9</f>
        <v>0</v>
      </c>
      <c r="J398" s="120">
        <f>ROUND(G398*I398,2)</f>
        <v>0</v>
      </c>
    </row>
    <row r="399" spans="1:10" ht="12.75" customHeight="1" outlineLevel="1">
      <c r="B399" s="20" t="s">
        <v>50</v>
      </c>
      <c r="C399" s="28"/>
      <c r="D399" s="20"/>
      <c r="E399" s="29"/>
      <c r="F399" s="22"/>
      <c r="G399" s="23"/>
      <c r="H399" s="25"/>
      <c r="I399" s="22"/>
      <c r="J399" s="24">
        <f>SUM(J396:J398)</f>
        <v>0</v>
      </c>
    </row>
    <row r="400" spans="1:10" ht="12.95" customHeight="1">
      <c r="A400" s="16" t="s">
        <v>636</v>
      </c>
      <c r="B400" s="20" t="s">
        <v>485</v>
      </c>
      <c r="C400" s="132">
        <v>1600000</v>
      </c>
      <c r="D400" s="114"/>
      <c r="E400" s="115" t="s">
        <v>645</v>
      </c>
      <c r="F400" s="22"/>
      <c r="G400" s="23"/>
      <c r="H400" s="25"/>
      <c r="I400" s="22"/>
      <c r="J400" s="24"/>
    </row>
    <row r="401" spans="1:12" ht="25.5" outlineLevel="1">
      <c r="A401" s="17" t="s">
        <v>636</v>
      </c>
      <c r="B401" s="83" t="s">
        <v>486</v>
      </c>
      <c r="C401" s="131" t="s">
        <v>349</v>
      </c>
      <c r="D401" s="117" t="s">
        <v>586</v>
      </c>
      <c r="E401" s="123" t="s">
        <v>687</v>
      </c>
      <c r="F401" s="36" t="s">
        <v>32</v>
      </c>
      <c r="G401" s="119">
        <v>10</v>
      </c>
      <c r="H401" s="23"/>
      <c r="I401" s="120">
        <f>H401*$J$9</f>
        <v>0</v>
      </c>
      <c r="J401" s="120">
        <f>ROUND(G401*I401,2)</f>
        <v>0</v>
      </c>
    </row>
    <row r="402" spans="1:12" ht="12.95" customHeight="1" outlineLevel="1">
      <c r="A402" s="17" t="s">
        <v>636</v>
      </c>
      <c r="B402" s="83" t="s">
        <v>487</v>
      </c>
      <c r="C402" s="126" t="s">
        <v>353</v>
      </c>
      <c r="D402" s="156" t="s">
        <v>586</v>
      </c>
      <c r="E402" s="123" t="s">
        <v>689</v>
      </c>
      <c r="F402" s="36" t="s">
        <v>654</v>
      </c>
      <c r="G402" s="157">
        <f>G305</f>
        <v>75.259999999999991</v>
      </c>
      <c r="H402" s="23"/>
      <c r="I402" s="144">
        <f>H402*$J$9</f>
        <v>0</v>
      </c>
      <c r="J402" s="144">
        <f>ROUND(G402*I402,2)</f>
        <v>0</v>
      </c>
    </row>
    <row r="403" spans="1:12" ht="12.75" customHeight="1" outlineLevel="1" thickBot="1">
      <c r="B403" s="20" t="s">
        <v>50</v>
      </c>
      <c r="C403" s="28"/>
      <c r="D403" s="20"/>
      <c r="E403" s="29"/>
      <c r="F403" s="22"/>
      <c r="G403" s="23"/>
      <c r="H403" s="25"/>
      <c r="I403" s="22"/>
      <c r="J403" s="24">
        <f>SUM(J401:J402)</f>
        <v>0</v>
      </c>
    </row>
    <row r="404" spans="1:12" ht="18" customHeight="1" thickBot="1">
      <c r="B404" s="346" t="s">
        <v>90</v>
      </c>
      <c r="C404" s="347"/>
      <c r="D404" s="347"/>
      <c r="E404" s="347"/>
      <c r="F404" s="347"/>
      <c r="G404" s="347"/>
      <c r="H404" s="348"/>
      <c r="I404" s="349">
        <f>J403+J399+J394+J391+J381+J374+J370+J343+J307+J303+J299+J296+J290+J282</f>
        <v>0</v>
      </c>
      <c r="J404" s="350"/>
      <c r="K404" s="30"/>
      <c r="L404" s="44">
        <f>I404/G295</f>
        <v>0</v>
      </c>
    </row>
    <row r="405" spans="1:12" ht="9.9499999999999993" customHeight="1" thickBot="1">
      <c r="B405" s="31"/>
      <c r="C405" s="31"/>
      <c r="D405" s="31"/>
      <c r="E405" s="31"/>
      <c r="F405" s="31"/>
      <c r="G405" s="31"/>
      <c r="H405" s="31"/>
      <c r="I405" s="33"/>
      <c r="J405" s="33"/>
      <c r="K405" s="30"/>
      <c r="L405" s="44"/>
    </row>
    <row r="406" spans="1:12" ht="24.95" customHeight="1" thickBot="1">
      <c r="B406" s="332" t="str">
        <f>B9</f>
        <v>Planilha</v>
      </c>
      <c r="C406" s="104">
        <v>5</v>
      </c>
      <c r="D406" s="105"/>
      <c r="E406" s="106" t="s">
        <v>488</v>
      </c>
      <c r="F406" s="105"/>
      <c r="G406" s="105"/>
      <c r="H406" s="138"/>
      <c r="I406" s="139"/>
      <c r="J406" s="140"/>
    </row>
    <row r="407" spans="1:12" ht="41.25" customHeight="1" thickBot="1">
      <c r="B407" s="109" t="s">
        <v>10</v>
      </c>
      <c r="C407" s="109" t="s">
        <v>11</v>
      </c>
      <c r="D407" s="109" t="s">
        <v>12</v>
      </c>
      <c r="E407" s="109" t="s">
        <v>13</v>
      </c>
      <c r="F407" s="109" t="s">
        <v>14</v>
      </c>
      <c r="G407" s="110" t="s">
        <v>15</v>
      </c>
      <c r="H407" s="111" t="s">
        <v>489</v>
      </c>
      <c r="I407" s="111" t="s">
        <v>490</v>
      </c>
      <c r="J407" s="112" t="s">
        <v>18</v>
      </c>
    </row>
    <row r="408" spans="1:12" ht="12.95" customHeight="1">
      <c r="A408" s="16" t="s">
        <v>636</v>
      </c>
      <c r="B408" s="20" t="s">
        <v>491</v>
      </c>
      <c r="C408" s="113">
        <v>100000</v>
      </c>
      <c r="D408" s="114"/>
      <c r="E408" s="163" t="s">
        <v>637</v>
      </c>
      <c r="F408" s="22"/>
      <c r="G408" s="23"/>
      <c r="H408" s="25"/>
      <c r="I408" s="22"/>
      <c r="J408" s="24"/>
    </row>
    <row r="409" spans="1:12" s="18" customFormat="1" ht="26.25" customHeight="1" outlineLevel="1">
      <c r="A409" s="17" t="s">
        <v>636</v>
      </c>
      <c r="B409" s="354" t="s">
        <v>492</v>
      </c>
      <c r="C409" s="361" t="s">
        <v>23</v>
      </c>
      <c r="D409" s="363" t="s">
        <v>586</v>
      </c>
      <c r="E409" s="122" t="s">
        <v>660</v>
      </c>
      <c r="F409" s="365" t="s">
        <v>654</v>
      </c>
      <c r="G409" s="367">
        <f>187.5+65+121+380+460+1506-G118</f>
        <v>2223.5</v>
      </c>
      <c r="H409" s="359"/>
      <c r="I409" s="344">
        <f>H409*$J$9</f>
        <v>0</v>
      </c>
      <c r="J409" s="344">
        <f>ROUND(G409*I409,2)</f>
        <v>0</v>
      </c>
      <c r="K409" s="19"/>
      <c r="L409" s="47"/>
    </row>
    <row r="410" spans="1:12" s="18" customFormat="1" ht="15" customHeight="1" outlineLevel="1">
      <c r="A410" s="17"/>
      <c r="B410" s="355"/>
      <c r="C410" s="362"/>
      <c r="D410" s="364"/>
      <c r="E410" s="123" t="s">
        <v>493</v>
      </c>
      <c r="F410" s="366"/>
      <c r="G410" s="368"/>
      <c r="H410" s="360"/>
      <c r="I410" s="345"/>
      <c r="J410" s="345"/>
      <c r="K410" s="19"/>
    </row>
    <row r="411" spans="1:12" ht="26.25" customHeight="1" outlineLevel="1">
      <c r="A411" s="17" t="s">
        <v>636</v>
      </c>
      <c r="B411" s="83" t="s">
        <v>494</v>
      </c>
      <c r="C411" s="126" t="s">
        <v>35</v>
      </c>
      <c r="D411" s="117" t="s">
        <v>586</v>
      </c>
      <c r="E411" s="123" t="s">
        <v>665</v>
      </c>
      <c r="F411" s="36" t="s">
        <v>32</v>
      </c>
      <c r="G411" s="119">
        <f>G409*0.3</f>
        <v>667.05</v>
      </c>
      <c r="H411" s="23"/>
      <c r="I411" s="120">
        <f>H411*$J$9</f>
        <v>0</v>
      </c>
      <c r="J411" s="120">
        <f t="shared" ref="J411" si="40">ROUND(G411*I411,2)</f>
        <v>0</v>
      </c>
    </row>
    <row r="412" spans="1:12" ht="12.95" customHeight="1" outlineLevel="1">
      <c r="B412" s="20" t="s">
        <v>36</v>
      </c>
      <c r="C412" s="28"/>
      <c r="D412" s="20"/>
      <c r="E412" s="22"/>
      <c r="F412" s="22"/>
      <c r="G412" s="23"/>
      <c r="H412" s="23"/>
      <c r="I412" s="22"/>
      <c r="J412" s="24">
        <f>SUM(J409:J411)</f>
        <v>0</v>
      </c>
    </row>
    <row r="413" spans="1:12" ht="12.95" customHeight="1">
      <c r="A413" s="16" t="s">
        <v>636</v>
      </c>
      <c r="B413" s="20" t="s">
        <v>495</v>
      </c>
      <c r="C413" s="132">
        <v>800000</v>
      </c>
      <c r="D413" s="114"/>
      <c r="E413" s="115" t="s">
        <v>650</v>
      </c>
      <c r="F413" s="22"/>
      <c r="G413" s="23"/>
      <c r="H413" s="25"/>
      <c r="I413" s="22"/>
      <c r="J413" s="24"/>
    </row>
    <row r="414" spans="1:12" ht="12.95" customHeight="1" outlineLevel="1">
      <c r="A414" s="17" t="s">
        <v>643</v>
      </c>
      <c r="B414" s="83" t="s">
        <v>496</v>
      </c>
      <c r="C414" s="148">
        <v>801001</v>
      </c>
      <c r="D414" s="117" t="s">
        <v>644</v>
      </c>
      <c r="E414" s="123" t="s">
        <v>816</v>
      </c>
      <c r="F414" s="36" t="s">
        <v>685</v>
      </c>
      <c r="G414" s="119">
        <v>1</v>
      </c>
      <c r="H414" s="23"/>
      <c r="I414" s="120">
        <f t="shared" ref="I414:I420" si="41">H414*$J$9</f>
        <v>0</v>
      </c>
      <c r="J414" s="120">
        <f t="shared" ref="J414:J427" si="42">ROUND(G414*I414,2)</f>
        <v>0</v>
      </c>
    </row>
    <row r="415" spans="1:12" outlineLevel="1">
      <c r="A415" s="17" t="s">
        <v>636</v>
      </c>
      <c r="B415" s="83" t="s">
        <v>497</v>
      </c>
      <c r="C415" s="126" t="s">
        <v>498</v>
      </c>
      <c r="D415" s="117" t="s">
        <v>586</v>
      </c>
      <c r="E415" s="123" t="s">
        <v>817</v>
      </c>
      <c r="F415" s="36" t="s">
        <v>592</v>
      </c>
      <c r="G415" s="119">
        <f>50*4+35+42</f>
        <v>277</v>
      </c>
      <c r="H415" s="23"/>
      <c r="I415" s="120">
        <f t="shared" si="41"/>
        <v>0</v>
      </c>
      <c r="J415" s="120">
        <f t="shared" si="42"/>
        <v>0</v>
      </c>
    </row>
    <row r="416" spans="1:12" ht="12.95" customHeight="1" outlineLevel="1">
      <c r="A416" s="17" t="s">
        <v>636</v>
      </c>
      <c r="B416" s="83" t="s">
        <v>499</v>
      </c>
      <c r="C416" s="126" t="s">
        <v>500</v>
      </c>
      <c r="D416" s="117" t="s">
        <v>586</v>
      </c>
      <c r="E416" s="123" t="s">
        <v>818</v>
      </c>
      <c r="F416" s="36" t="s">
        <v>592</v>
      </c>
      <c r="G416" s="119">
        <v>75</v>
      </c>
      <c r="H416" s="23"/>
      <c r="I416" s="120">
        <f t="shared" si="41"/>
        <v>0</v>
      </c>
      <c r="J416" s="120">
        <f t="shared" si="42"/>
        <v>0</v>
      </c>
    </row>
    <row r="417" spans="1:10" ht="12.95" customHeight="1" outlineLevel="1">
      <c r="A417" s="17" t="s">
        <v>643</v>
      </c>
      <c r="B417" s="83" t="s">
        <v>501</v>
      </c>
      <c r="C417" s="164">
        <v>1605071</v>
      </c>
      <c r="D417" s="117" t="s">
        <v>644</v>
      </c>
      <c r="E417" s="123" t="s">
        <v>819</v>
      </c>
      <c r="F417" s="36" t="s">
        <v>682</v>
      </c>
      <c r="G417" s="119">
        <f>1*1*1*3</f>
        <v>3</v>
      </c>
      <c r="H417" s="23"/>
      <c r="I417" s="120">
        <f t="shared" si="41"/>
        <v>0</v>
      </c>
      <c r="J417" s="120">
        <f t="shared" si="42"/>
        <v>0</v>
      </c>
    </row>
    <row r="418" spans="1:10" ht="12.95" customHeight="1" outlineLevel="1">
      <c r="A418" s="17" t="s">
        <v>643</v>
      </c>
      <c r="B418" s="83" t="s">
        <v>502</v>
      </c>
      <c r="C418" s="164">
        <v>1605072</v>
      </c>
      <c r="D418" s="117" t="s">
        <v>644</v>
      </c>
      <c r="E418" s="123" t="s">
        <v>820</v>
      </c>
      <c r="F418" s="36" t="s">
        <v>656</v>
      </c>
      <c r="G418" s="119">
        <f>0.5*0.5*4+1*1*3</f>
        <v>4</v>
      </c>
      <c r="H418" s="23"/>
      <c r="I418" s="120">
        <f t="shared" si="41"/>
        <v>0</v>
      </c>
      <c r="J418" s="120">
        <f t="shared" si="42"/>
        <v>0</v>
      </c>
    </row>
    <row r="419" spans="1:10" ht="12.95" customHeight="1" outlineLevel="1">
      <c r="A419" s="17" t="s">
        <v>643</v>
      </c>
      <c r="B419" s="83" t="s">
        <v>503</v>
      </c>
      <c r="C419" s="164">
        <v>1605074</v>
      </c>
      <c r="D419" s="117" t="s">
        <v>644</v>
      </c>
      <c r="E419" s="123" t="s">
        <v>821</v>
      </c>
      <c r="F419" s="36" t="s">
        <v>656</v>
      </c>
      <c r="G419" s="119">
        <f>G418</f>
        <v>4</v>
      </c>
      <c r="H419" s="23"/>
      <c r="I419" s="120">
        <f t="shared" si="41"/>
        <v>0</v>
      </c>
      <c r="J419" s="120">
        <f t="shared" si="42"/>
        <v>0</v>
      </c>
    </row>
    <row r="420" spans="1:10" ht="12.95" customHeight="1" outlineLevel="1">
      <c r="A420" s="17" t="s">
        <v>636</v>
      </c>
      <c r="B420" s="83" t="s">
        <v>504</v>
      </c>
      <c r="C420" s="126" t="s">
        <v>505</v>
      </c>
      <c r="D420" s="117" t="s">
        <v>586</v>
      </c>
      <c r="E420" s="123" t="s">
        <v>822</v>
      </c>
      <c r="F420" s="36" t="s">
        <v>32</v>
      </c>
      <c r="G420" s="119">
        <f>1*1*3*3+G415*0.4+G416*0.8</f>
        <v>179.8</v>
      </c>
      <c r="H420" s="23"/>
      <c r="I420" s="120">
        <f t="shared" si="41"/>
        <v>0</v>
      </c>
      <c r="J420" s="120">
        <f t="shared" si="42"/>
        <v>0</v>
      </c>
    </row>
    <row r="421" spans="1:10" ht="12.95" customHeight="1" outlineLevel="1">
      <c r="A421" s="17" t="s">
        <v>636</v>
      </c>
      <c r="B421" s="83" t="s">
        <v>506</v>
      </c>
      <c r="C421" s="126" t="s">
        <v>31</v>
      </c>
      <c r="D421" s="142" t="s">
        <v>586</v>
      </c>
      <c r="E421" s="123" t="s">
        <v>664</v>
      </c>
      <c r="F421" s="36" t="s">
        <v>32</v>
      </c>
      <c r="G421" s="143">
        <v>100</v>
      </c>
      <c r="H421" s="23"/>
      <c r="I421" s="144">
        <f>H421*$J$9</f>
        <v>0</v>
      </c>
      <c r="J421" s="144">
        <f t="shared" si="42"/>
        <v>0</v>
      </c>
    </row>
    <row r="422" spans="1:10" ht="12.95" customHeight="1" outlineLevel="1">
      <c r="A422" s="17" t="s">
        <v>636</v>
      </c>
      <c r="B422" s="83" t="s">
        <v>507</v>
      </c>
      <c r="C422" s="133" t="s">
        <v>176</v>
      </c>
      <c r="D422" s="117" t="s">
        <v>586</v>
      </c>
      <c r="E422" s="123" t="s">
        <v>705</v>
      </c>
      <c r="F422" s="36" t="s">
        <v>592</v>
      </c>
      <c r="G422" s="119">
        <f>6+38+5+13+4+34+43+23+42</f>
        <v>208</v>
      </c>
      <c r="H422" s="23"/>
      <c r="I422" s="120">
        <f t="shared" ref="I422:I427" si="43">H422*$J$9</f>
        <v>0</v>
      </c>
      <c r="J422" s="120">
        <f t="shared" si="42"/>
        <v>0</v>
      </c>
    </row>
    <row r="423" spans="1:10" ht="27.95" customHeight="1" outlineLevel="1">
      <c r="A423" s="17" t="s">
        <v>636</v>
      </c>
      <c r="B423" s="83" t="s">
        <v>508</v>
      </c>
      <c r="C423" s="126" t="s">
        <v>184</v>
      </c>
      <c r="D423" s="117" t="s">
        <v>586</v>
      </c>
      <c r="E423" s="123" t="s">
        <v>709</v>
      </c>
      <c r="F423" s="36" t="s">
        <v>592</v>
      </c>
      <c r="G423" s="119">
        <f>50+(F6+F7)</f>
        <v>147</v>
      </c>
      <c r="H423" s="23"/>
      <c r="I423" s="120">
        <f t="shared" si="43"/>
        <v>0</v>
      </c>
      <c r="J423" s="120">
        <f t="shared" si="42"/>
        <v>0</v>
      </c>
    </row>
    <row r="424" spans="1:10" ht="12.95" customHeight="1" outlineLevel="1">
      <c r="A424" s="17" t="s">
        <v>636</v>
      </c>
      <c r="B424" s="83" t="s">
        <v>509</v>
      </c>
      <c r="C424" s="126" t="s">
        <v>188</v>
      </c>
      <c r="D424" s="117" t="s">
        <v>586</v>
      </c>
      <c r="E424" s="123" t="s">
        <v>711</v>
      </c>
      <c r="F424" s="36" t="s">
        <v>599</v>
      </c>
      <c r="G424" s="119">
        <f>(F6+F7)*6/12-0.5</f>
        <v>48</v>
      </c>
      <c r="H424" s="23"/>
      <c r="I424" s="120">
        <f t="shared" si="43"/>
        <v>0</v>
      </c>
      <c r="J424" s="120">
        <f t="shared" si="42"/>
        <v>0</v>
      </c>
    </row>
    <row r="425" spans="1:10" outlineLevel="1">
      <c r="A425" s="17" t="s">
        <v>636</v>
      </c>
      <c r="B425" s="83" t="s">
        <v>510</v>
      </c>
      <c r="C425" s="126" t="s">
        <v>511</v>
      </c>
      <c r="D425" s="117" t="s">
        <v>586</v>
      </c>
      <c r="E425" s="123" t="s">
        <v>823</v>
      </c>
      <c r="F425" s="36" t="s">
        <v>599</v>
      </c>
      <c r="G425" s="119">
        <v>7</v>
      </c>
      <c r="H425" s="23"/>
      <c r="I425" s="120">
        <f t="shared" si="43"/>
        <v>0</v>
      </c>
      <c r="J425" s="120">
        <f t="shared" si="42"/>
        <v>0</v>
      </c>
    </row>
    <row r="426" spans="1:10" outlineLevel="1">
      <c r="A426" s="17" t="s">
        <v>643</v>
      </c>
      <c r="B426" s="83" t="s">
        <v>512</v>
      </c>
      <c r="C426" s="148">
        <v>815013</v>
      </c>
      <c r="D426" s="117" t="s">
        <v>644</v>
      </c>
      <c r="E426" s="123" t="s">
        <v>824</v>
      </c>
      <c r="F426" s="36" t="s">
        <v>683</v>
      </c>
      <c r="G426" s="119">
        <v>2</v>
      </c>
      <c r="H426" s="23"/>
      <c r="I426" s="120">
        <f t="shared" si="43"/>
        <v>0</v>
      </c>
      <c r="J426" s="120">
        <f t="shared" si="42"/>
        <v>0</v>
      </c>
    </row>
    <row r="427" spans="1:10" outlineLevel="1">
      <c r="A427" s="17" t="s">
        <v>643</v>
      </c>
      <c r="B427" s="83" t="s">
        <v>513</v>
      </c>
      <c r="C427" s="148">
        <v>817056</v>
      </c>
      <c r="D427" s="117" t="s">
        <v>644</v>
      </c>
      <c r="E427" s="123" t="s">
        <v>825</v>
      </c>
      <c r="F427" s="36" t="s">
        <v>685</v>
      </c>
      <c r="G427" s="119">
        <v>1</v>
      </c>
      <c r="H427" s="23"/>
      <c r="I427" s="120">
        <f t="shared" si="43"/>
        <v>0</v>
      </c>
      <c r="J427" s="120">
        <f t="shared" si="42"/>
        <v>0</v>
      </c>
    </row>
    <row r="428" spans="1:10" ht="12.75" customHeight="1" outlineLevel="1">
      <c r="B428" s="20" t="s">
        <v>50</v>
      </c>
      <c r="C428" s="28"/>
      <c r="D428" s="20"/>
      <c r="E428" s="22"/>
      <c r="F428" s="22"/>
      <c r="G428" s="23"/>
      <c r="H428" s="25"/>
      <c r="I428" s="22"/>
      <c r="J428" s="24">
        <f>SUM(J414:J427)</f>
        <v>0</v>
      </c>
    </row>
    <row r="429" spans="1:10" ht="12.95" customHeight="1">
      <c r="A429" s="16" t="s">
        <v>636</v>
      </c>
      <c r="B429" s="20" t="s">
        <v>514</v>
      </c>
      <c r="C429" s="132">
        <v>400000</v>
      </c>
      <c r="D429" s="114"/>
      <c r="E429" s="115" t="s">
        <v>640</v>
      </c>
      <c r="F429" s="22"/>
      <c r="G429" s="23"/>
      <c r="H429" s="25"/>
      <c r="I429" s="22"/>
      <c r="J429" s="24"/>
    </row>
    <row r="430" spans="1:10" ht="12.95" customHeight="1" outlineLevel="1">
      <c r="A430" s="17" t="s">
        <v>636</v>
      </c>
      <c r="B430" s="83" t="s">
        <v>515</v>
      </c>
      <c r="C430" s="131" t="s">
        <v>516</v>
      </c>
      <c r="D430" s="117" t="s">
        <v>586</v>
      </c>
      <c r="E430" s="123" t="s">
        <v>826</v>
      </c>
      <c r="F430" s="36" t="s">
        <v>654</v>
      </c>
      <c r="G430" s="119">
        <f>7*0.5*0.5*3</f>
        <v>5.25</v>
      </c>
      <c r="H430" s="23"/>
      <c r="I430" s="120">
        <f>H430*$J$9</f>
        <v>0</v>
      </c>
      <c r="J430" s="120">
        <f>ROUND(G430*I430,2)</f>
        <v>0</v>
      </c>
    </row>
    <row r="431" spans="1:10" ht="12.75" customHeight="1" outlineLevel="1">
      <c r="B431" s="20" t="s">
        <v>50</v>
      </c>
      <c r="C431" s="28"/>
      <c r="D431" s="20"/>
      <c r="E431" s="22"/>
      <c r="F431" s="22"/>
      <c r="G431" s="23"/>
      <c r="H431" s="25"/>
      <c r="I431" s="22"/>
      <c r="J431" s="24">
        <f>SUM(J430:J430)</f>
        <v>0</v>
      </c>
    </row>
    <row r="432" spans="1:10" ht="12.95" customHeight="1">
      <c r="A432" s="16" t="s">
        <v>636</v>
      </c>
      <c r="B432" s="20" t="s">
        <v>517</v>
      </c>
      <c r="C432" s="132">
        <v>900000</v>
      </c>
      <c r="D432" s="114"/>
      <c r="E432" s="115" t="s">
        <v>651</v>
      </c>
      <c r="F432" s="22"/>
      <c r="G432" s="23"/>
      <c r="H432" s="25"/>
      <c r="I432" s="22"/>
      <c r="J432" s="24"/>
    </row>
    <row r="433" spans="1:10" ht="12.95" customHeight="1" outlineLevel="1">
      <c r="A433" s="17" t="s">
        <v>643</v>
      </c>
      <c r="B433" s="83" t="s">
        <v>518</v>
      </c>
      <c r="C433" s="148">
        <v>902060</v>
      </c>
      <c r="D433" s="117" t="s">
        <v>644</v>
      </c>
      <c r="E433" s="123" t="s">
        <v>827</v>
      </c>
      <c r="F433" s="36" t="s">
        <v>685</v>
      </c>
      <c r="G433" s="119">
        <v>1</v>
      </c>
      <c r="H433" s="23"/>
      <c r="I433" s="120">
        <f t="shared" ref="I433" si="44">H433*$J$9</f>
        <v>0</v>
      </c>
      <c r="J433" s="120">
        <f t="shared" ref="J433" si="45">ROUND(G433*I433,2)</f>
        <v>0</v>
      </c>
    </row>
    <row r="434" spans="1:10" ht="12.95" customHeight="1" outlineLevel="1">
      <c r="A434" s="17" t="s">
        <v>646</v>
      </c>
      <c r="B434" s="83"/>
      <c r="C434" s="45"/>
      <c r="D434" s="117" t="s">
        <v>646</v>
      </c>
      <c r="E434" s="38" t="s">
        <v>232</v>
      </c>
      <c r="F434" s="36"/>
      <c r="G434" s="39"/>
      <c r="H434" s="23"/>
      <c r="I434" s="120"/>
      <c r="J434" s="120"/>
    </row>
    <row r="435" spans="1:10" ht="25.5" outlineLevel="1">
      <c r="A435" s="17" t="s">
        <v>636</v>
      </c>
      <c r="B435" s="83" t="s">
        <v>519</v>
      </c>
      <c r="C435" s="42" t="s">
        <v>520</v>
      </c>
      <c r="D435" s="117" t="s">
        <v>586</v>
      </c>
      <c r="E435" s="123" t="s">
        <v>828</v>
      </c>
      <c r="F435" s="36" t="s">
        <v>599</v>
      </c>
      <c r="G435" s="40">
        <v>4</v>
      </c>
      <c r="H435" s="23"/>
      <c r="I435" s="120">
        <f t="shared" ref="I435:I445" si="46">H435*$J$9</f>
        <v>0</v>
      </c>
      <c r="J435" s="120">
        <f t="shared" ref="J435:J445" si="47">ROUND(G435*I435,2)</f>
        <v>0</v>
      </c>
    </row>
    <row r="436" spans="1:10" outlineLevel="1">
      <c r="A436" s="17" t="s">
        <v>636</v>
      </c>
      <c r="B436" s="83" t="s">
        <v>521</v>
      </c>
      <c r="C436" s="42" t="s">
        <v>522</v>
      </c>
      <c r="D436" s="117" t="s">
        <v>586</v>
      </c>
      <c r="E436" s="123" t="s">
        <v>829</v>
      </c>
      <c r="F436" s="36" t="s">
        <v>599</v>
      </c>
      <c r="G436" s="40">
        <v>5</v>
      </c>
      <c r="H436" s="23"/>
      <c r="I436" s="120">
        <f t="shared" si="46"/>
        <v>0</v>
      </c>
      <c r="J436" s="120">
        <f t="shared" si="47"/>
        <v>0</v>
      </c>
    </row>
    <row r="437" spans="1:10" ht="25.5" customHeight="1" outlineLevel="1">
      <c r="A437" s="17" t="s">
        <v>636</v>
      </c>
      <c r="B437" s="83" t="s">
        <v>523</v>
      </c>
      <c r="C437" s="42" t="s">
        <v>524</v>
      </c>
      <c r="D437" s="117" t="s">
        <v>586</v>
      </c>
      <c r="E437" s="123" t="s">
        <v>830</v>
      </c>
      <c r="F437" s="36" t="s">
        <v>599</v>
      </c>
      <c r="G437" s="40">
        <v>13</v>
      </c>
      <c r="H437" s="23"/>
      <c r="I437" s="120">
        <f t="shared" si="46"/>
        <v>0</v>
      </c>
      <c r="J437" s="120">
        <f t="shared" si="47"/>
        <v>0</v>
      </c>
    </row>
    <row r="438" spans="1:10" ht="12.95" customHeight="1" outlineLevel="1">
      <c r="A438" s="17" t="s">
        <v>636</v>
      </c>
      <c r="B438" s="83" t="s">
        <v>525</v>
      </c>
      <c r="C438" s="37" t="s">
        <v>526</v>
      </c>
      <c r="D438" s="117" t="s">
        <v>586</v>
      </c>
      <c r="E438" s="123" t="s">
        <v>831</v>
      </c>
      <c r="F438" s="36" t="s">
        <v>599</v>
      </c>
      <c r="G438" s="40">
        <v>13</v>
      </c>
      <c r="H438" s="23"/>
      <c r="I438" s="120">
        <f t="shared" si="46"/>
        <v>0</v>
      </c>
      <c r="J438" s="120">
        <f t="shared" si="47"/>
        <v>0</v>
      </c>
    </row>
    <row r="439" spans="1:10" outlineLevel="1">
      <c r="A439" s="17" t="s">
        <v>636</v>
      </c>
      <c r="B439" s="83" t="s">
        <v>527</v>
      </c>
      <c r="C439" s="37" t="s">
        <v>528</v>
      </c>
      <c r="D439" s="117" t="s">
        <v>586</v>
      </c>
      <c r="E439" s="123" t="s">
        <v>832</v>
      </c>
      <c r="F439" s="36" t="s">
        <v>599</v>
      </c>
      <c r="G439" s="40">
        <v>13</v>
      </c>
      <c r="H439" s="23"/>
      <c r="I439" s="120">
        <f t="shared" si="46"/>
        <v>0</v>
      </c>
      <c r="J439" s="120">
        <f t="shared" si="47"/>
        <v>0</v>
      </c>
    </row>
    <row r="440" spans="1:10" ht="12.95" customHeight="1" outlineLevel="1">
      <c r="A440" s="17" t="s">
        <v>636</v>
      </c>
      <c r="B440" s="83" t="s">
        <v>529</v>
      </c>
      <c r="C440" s="37" t="s">
        <v>242</v>
      </c>
      <c r="D440" s="117" t="s">
        <v>586</v>
      </c>
      <c r="E440" s="123" t="s">
        <v>740</v>
      </c>
      <c r="F440" s="36" t="s">
        <v>599</v>
      </c>
      <c r="G440" s="40">
        <v>15</v>
      </c>
      <c r="H440" s="23"/>
      <c r="I440" s="120">
        <f t="shared" si="46"/>
        <v>0</v>
      </c>
      <c r="J440" s="120">
        <f t="shared" si="47"/>
        <v>0</v>
      </c>
    </row>
    <row r="441" spans="1:10" ht="12.95" customHeight="1" outlineLevel="1">
      <c r="A441" s="17" t="s">
        <v>636</v>
      </c>
      <c r="B441" s="83" t="s">
        <v>530</v>
      </c>
      <c r="C441" s="42" t="s">
        <v>531</v>
      </c>
      <c r="D441" s="117" t="s">
        <v>586</v>
      </c>
      <c r="E441" s="123" t="s">
        <v>833</v>
      </c>
      <c r="F441" s="36" t="s">
        <v>599</v>
      </c>
      <c r="G441" s="40">
        <v>13</v>
      </c>
      <c r="H441" s="23"/>
      <c r="I441" s="120">
        <f t="shared" si="46"/>
        <v>0</v>
      </c>
      <c r="J441" s="120">
        <f t="shared" si="47"/>
        <v>0</v>
      </c>
    </row>
    <row r="442" spans="1:10" ht="25.5" outlineLevel="1">
      <c r="A442" s="17" t="s">
        <v>636</v>
      </c>
      <c r="B442" s="83" t="s">
        <v>532</v>
      </c>
      <c r="C442" s="127" t="s">
        <v>533</v>
      </c>
      <c r="D442" s="117" t="s">
        <v>586</v>
      </c>
      <c r="E442" s="123" t="s">
        <v>834</v>
      </c>
      <c r="F442" s="36" t="s">
        <v>599</v>
      </c>
      <c r="G442" s="40">
        <v>2</v>
      </c>
      <c r="H442" s="23"/>
      <c r="I442" s="120">
        <f t="shared" si="46"/>
        <v>0</v>
      </c>
      <c r="J442" s="120">
        <f t="shared" si="47"/>
        <v>0</v>
      </c>
    </row>
    <row r="443" spans="1:10" ht="12.95" customHeight="1" outlineLevel="1">
      <c r="A443" s="17" t="s">
        <v>636</v>
      </c>
      <c r="B443" s="83" t="s">
        <v>534</v>
      </c>
      <c r="C443" s="37" t="s">
        <v>238</v>
      </c>
      <c r="D443" s="117" t="s">
        <v>586</v>
      </c>
      <c r="E443" s="123" t="s">
        <v>738</v>
      </c>
      <c r="F443" s="36" t="s">
        <v>599</v>
      </c>
      <c r="G443" s="40">
        <v>2</v>
      </c>
      <c r="H443" s="23"/>
      <c r="I443" s="120">
        <f t="shared" si="46"/>
        <v>0</v>
      </c>
      <c r="J443" s="120">
        <f t="shared" si="47"/>
        <v>0</v>
      </c>
    </row>
    <row r="444" spans="1:10" outlineLevel="1">
      <c r="A444" s="17" t="s">
        <v>636</v>
      </c>
      <c r="B444" s="83" t="s">
        <v>535</v>
      </c>
      <c r="C444" s="37" t="s">
        <v>240</v>
      </c>
      <c r="D444" s="117" t="s">
        <v>586</v>
      </c>
      <c r="E444" s="123" t="s">
        <v>739</v>
      </c>
      <c r="F444" s="36" t="s">
        <v>599</v>
      </c>
      <c r="G444" s="40">
        <v>2</v>
      </c>
      <c r="H444" s="23"/>
      <c r="I444" s="120">
        <f t="shared" si="46"/>
        <v>0</v>
      </c>
      <c r="J444" s="120">
        <f t="shared" si="47"/>
        <v>0</v>
      </c>
    </row>
    <row r="445" spans="1:10" ht="12.95" customHeight="1" outlineLevel="1">
      <c r="A445" s="17" t="s">
        <v>643</v>
      </c>
      <c r="B445" s="83" t="s">
        <v>536</v>
      </c>
      <c r="C445" s="48">
        <v>906025</v>
      </c>
      <c r="D445" s="117" t="s">
        <v>644</v>
      </c>
      <c r="E445" s="123" t="s">
        <v>741</v>
      </c>
      <c r="F445" s="36" t="s">
        <v>685</v>
      </c>
      <c r="G445" s="40">
        <v>16</v>
      </c>
      <c r="H445" s="23"/>
      <c r="I445" s="120">
        <f t="shared" si="46"/>
        <v>0</v>
      </c>
      <c r="J445" s="120">
        <f t="shared" si="47"/>
        <v>0</v>
      </c>
    </row>
    <row r="446" spans="1:10" ht="12.95" customHeight="1" outlineLevel="1">
      <c r="A446" s="17" t="s">
        <v>646</v>
      </c>
      <c r="B446" s="83"/>
      <c r="C446" s="46"/>
      <c r="D446" s="117" t="s">
        <v>646</v>
      </c>
      <c r="E446" s="152" t="s">
        <v>266</v>
      </c>
      <c r="F446" s="36"/>
      <c r="G446" s="153"/>
      <c r="H446" s="23"/>
      <c r="I446" s="120"/>
      <c r="J446" s="120"/>
    </row>
    <row r="447" spans="1:10" outlineLevel="1">
      <c r="A447" s="17" t="s">
        <v>636</v>
      </c>
      <c r="B447" s="83" t="s">
        <v>537</v>
      </c>
      <c r="C447" s="49" t="s">
        <v>538</v>
      </c>
      <c r="D447" s="117" t="s">
        <v>586</v>
      </c>
      <c r="E447" s="123" t="s">
        <v>835</v>
      </c>
      <c r="F447" s="36" t="s">
        <v>592</v>
      </c>
      <c r="G447" s="40">
        <v>200</v>
      </c>
      <c r="H447" s="23"/>
      <c r="I447" s="120">
        <f t="shared" ref="I447:I453" si="48">H447*$J$9</f>
        <v>0</v>
      </c>
      <c r="J447" s="120">
        <f t="shared" ref="J447:J453" si="49">ROUND(G447*I447,2)</f>
        <v>0</v>
      </c>
    </row>
    <row r="448" spans="1:10" outlineLevel="1">
      <c r="A448" s="17" t="s">
        <v>636</v>
      </c>
      <c r="B448" s="83" t="s">
        <v>539</v>
      </c>
      <c r="C448" s="49" t="s">
        <v>270</v>
      </c>
      <c r="D448" s="117" t="s">
        <v>586</v>
      </c>
      <c r="E448" s="123" t="s">
        <v>754</v>
      </c>
      <c r="F448" s="36" t="s">
        <v>592</v>
      </c>
      <c r="G448" s="40">
        <v>25</v>
      </c>
      <c r="H448" s="23"/>
      <c r="I448" s="120">
        <f t="shared" si="48"/>
        <v>0</v>
      </c>
      <c r="J448" s="120">
        <f t="shared" si="49"/>
        <v>0</v>
      </c>
    </row>
    <row r="449" spans="1:10" ht="12.95" customHeight="1" outlineLevel="1">
      <c r="A449" s="17" t="s">
        <v>636</v>
      </c>
      <c r="B449" s="83" t="s">
        <v>540</v>
      </c>
      <c r="C449" s="49" t="s">
        <v>541</v>
      </c>
      <c r="D449" s="117" t="s">
        <v>586</v>
      </c>
      <c r="E449" s="123" t="s">
        <v>836</v>
      </c>
      <c r="F449" s="36" t="s">
        <v>592</v>
      </c>
      <c r="G449" s="40">
        <v>7</v>
      </c>
      <c r="H449" s="23"/>
      <c r="I449" s="120">
        <f t="shared" si="48"/>
        <v>0</v>
      </c>
      <c r="J449" s="120">
        <f t="shared" si="49"/>
        <v>0</v>
      </c>
    </row>
    <row r="450" spans="1:10" ht="12.95" customHeight="1" outlineLevel="1">
      <c r="A450" s="17" t="s">
        <v>636</v>
      </c>
      <c r="B450" s="83" t="s">
        <v>542</v>
      </c>
      <c r="C450" s="125" t="s">
        <v>448</v>
      </c>
      <c r="D450" s="117" t="s">
        <v>586</v>
      </c>
      <c r="E450" s="123" t="s">
        <v>801</v>
      </c>
      <c r="F450" s="36" t="s">
        <v>592</v>
      </c>
      <c r="G450" s="40">
        <v>360</v>
      </c>
      <c r="H450" s="23"/>
      <c r="I450" s="120">
        <f t="shared" si="48"/>
        <v>0</v>
      </c>
      <c r="J450" s="120">
        <f t="shared" si="49"/>
        <v>0</v>
      </c>
    </row>
    <row r="451" spans="1:10" ht="12.95" customHeight="1" outlineLevel="1">
      <c r="A451" s="17" t="s">
        <v>636</v>
      </c>
      <c r="B451" s="83" t="s">
        <v>543</v>
      </c>
      <c r="C451" s="125" t="s">
        <v>544</v>
      </c>
      <c r="D451" s="117" t="s">
        <v>586</v>
      </c>
      <c r="E451" s="123" t="s">
        <v>837</v>
      </c>
      <c r="F451" s="36" t="s">
        <v>592</v>
      </c>
      <c r="G451" s="40">
        <v>540</v>
      </c>
      <c r="H451" s="23"/>
      <c r="I451" s="120">
        <f t="shared" si="48"/>
        <v>0</v>
      </c>
      <c r="J451" s="120">
        <f t="shared" si="49"/>
        <v>0</v>
      </c>
    </row>
    <row r="452" spans="1:10" ht="12.95" customHeight="1" outlineLevel="1">
      <c r="A452" s="17" t="s">
        <v>636</v>
      </c>
      <c r="B452" s="83" t="s">
        <v>545</v>
      </c>
      <c r="C452" s="42" t="s">
        <v>546</v>
      </c>
      <c r="D452" s="117" t="s">
        <v>586</v>
      </c>
      <c r="E452" s="123" t="s">
        <v>838</v>
      </c>
      <c r="F452" s="36" t="s">
        <v>592</v>
      </c>
      <c r="G452" s="40">
        <v>360</v>
      </c>
      <c r="H452" s="23"/>
      <c r="I452" s="120">
        <f t="shared" si="48"/>
        <v>0</v>
      </c>
      <c r="J452" s="120">
        <f t="shared" si="49"/>
        <v>0</v>
      </c>
    </row>
    <row r="453" spans="1:10" ht="12.95" customHeight="1" outlineLevel="1">
      <c r="A453" s="17" t="s">
        <v>636</v>
      </c>
      <c r="B453" s="83" t="s">
        <v>547</v>
      </c>
      <c r="C453" s="42" t="s">
        <v>548</v>
      </c>
      <c r="D453" s="117" t="s">
        <v>586</v>
      </c>
      <c r="E453" s="123" t="s">
        <v>839</v>
      </c>
      <c r="F453" s="36" t="s">
        <v>592</v>
      </c>
      <c r="G453" s="40">
        <v>30</v>
      </c>
      <c r="H453" s="23"/>
      <c r="I453" s="120">
        <f t="shared" si="48"/>
        <v>0</v>
      </c>
      <c r="J453" s="120">
        <f t="shared" si="49"/>
        <v>0</v>
      </c>
    </row>
    <row r="454" spans="1:10" ht="12.95" customHeight="1" outlineLevel="1">
      <c r="A454" s="17" t="s">
        <v>646</v>
      </c>
      <c r="B454" s="83"/>
      <c r="C454" s="46"/>
      <c r="D454" s="117" t="s">
        <v>646</v>
      </c>
      <c r="E454" s="38" t="s">
        <v>275</v>
      </c>
      <c r="F454" s="36"/>
      <c r="G454" s="39"/>
      <c r="H454" s="23"/>
      <c r="I454" s="120"/>
      <c r="J454" s="120"/>
    </row>
    <row r="455" spans="1:10" ht="25.5" outlineLevel="1">
      <c r="A455" s="17" t="s">
        <v>636</v>
      </c>
      <c r="B455" s="83" t="s">
        <v>549</v>
      </c>
      <c r="C455" s="46" t="s">
        <v>450</v>
      </c>
      <c r="D455" s="117" t="s">
        <v>586</v>
      </c>
      <c r="E455" s="123" t="s">
        <v>802</v>
      </c>
      <c r="F455" s="36" t="s">
        <v>599</v>
      </c>
      <c r="G455" s="40">
        <v>1</v>
      </c>
      <c r="H455" s="23"/>
      <c r="I455" s="120">
        <f t="shared" ref="I455:I457" si="50">H455*$J$9</f>
        <v>0</v>
      </c>
      <c r="J455" s="120">
        <f t="shared" ref="J455:J457" si="51">ROUND(G455*I455,2)</f>
        <v>0</v>
      </c>
    </row>
    <row r="456" spans="1:10" ht="25.5" outlineLevel="1">
      <c r="A456" s="17" t="s">
        <v>636</v>
      </c>
      <c r="B456" s="83" t="s">
        <v>550</v>
      </c>
      <c r="C456" s="127" t="s">
        <v>551</v>
      </c>
      <c r="D456" s="117" t="s">
        <v>586</v>
      </c>
      <c r="E456" s="123" t="s">
        <v>840</v>
      </c>
      <c r="F456" s="36" t="s">
        <v>599</v>
      </c>
      <c r="G456" s="40">
        <v>1</v>
      </c>
      <c r="H456" s="23"/>
      <c r="I456" s="120">
        <f t="shared" si="50"/>
        <v>0</v>
      </c>
      <c r="J456" s="120">
        <f t="shared" si="51"/>
        <v>0</v>
      </c>
    </row>
    <row r="457" spans="1:10" ht="12.95" customHeight="1" outlineLevel="1">
      <c r="A457" s="17" t="s">
        <v>636</v>
      </c>
      <c r="B457" s="83" t="s">
        <v>552</v>
      </c>
      <c r="C457" s="45" t="s">
        <v>283</v>
      </c>
      <c r="D457" s="117" t="s">
        <v>586</v>
      </c>
      <c r="E457" s="123" t="s">
        <v>760</v>
      </c>
      <c r="F457" s="36" t="s">
        <v>599</v>
      </c>
      <c r="G457" s="40">
        <v>2</v>
      </c>
      <c r="H457" s="23"/>
      <c r="I457" s="120">
        <f t="shared" si="50"/>
        <v>0</v>
      </c>
      <c r="J457" s="120">
        <f t="shared" si="51"/>
        <v>0</v>
      </c>
    </row>
    <row r="458" spans="1:10" ht="12.95" customHeight="1" outlineLevel="1">
      <c r="A458" s="17" t="s">
        <v>646</v>
      </c>
      <c r="B458" s="83"/>
      <c r="C458" s="45"/>
      <c r="D458" s="117" t="s">
        <v>646</v>
      </c>
      <c r="E458" s="43" t="s">
        <v>286</v>
      </c>
      <c r="F458" s="36"/>
      <c r="G458" s="39"/>
      <c r="H458" s="23"/>
      <c r="I458" s="120"/>
      <c r="J458" s="120"/>
    </row>
    <row r="459" spans="1:10" ht="12.95" customHeight="1" outlineLevel="1">
      <c r="A459" s="17" t="s">
        <v>636</v>
      </c>
      <c r="B459" s="83" t="s">
        <v>553</v>
      </c>
      <c r="C459" s="42" t="s">
        <v>554</v>
      </c>
      <c r="D459" s="117" t="s">
        <v>586</v>
      </c>
      <c r="E459" s="123" t="s">
        <v>841</v>
      </c>
      <c r="F459" s="36" t="s">
        <v>592</v>
      </c>
      <c r="G459" s="39">
        <v>60</v>
      </c>
      <c r="H459" s="23"/>
      <c r="I459" s="120">
        <f t="shared" ref="I459:I462" si="52">H459*$J$9</f>
        <v>0</v>
      </c>
      <c r="J459" s="120">
        <f t="shared" ref="J459:J462" si="53">ROUND(G459*I459,2)</f>
        <v>0</v>
      </c>
    </row>
    <row r="460" spans="1:10" ht="12.95" customHeight="1" outlineLevel="1">
      <c r="A460" s="17" t="s">
        <v>636</v>
      </c>
      <c r="B460" s="83" t="s">
        <v>555</v>
      </c>
      <c r="C460" s="42" t="s">
        <v>556</v>
      </c>
      <c r="D460" s="117" t="s">
        <v>586</v>
      </c>
      <c r="E460" s="123" t="s">
        <v>842</v>
      </c>
      <c r="F460" s="36" t="s">
        <v>592</v>
      </c>
      <c r="G460" s="39">
        <v>7</v>
      </c>
      <c r="H460" s="23"/>
      <c r="I460" s="120">
        <f t="shared" si="52"/>
        <v>0</v>
      </c>
      <c r="J460" s="120">
        <f t="shared" si="53"/>
        <v>0</v>
      </c>
    </row>
    <row r="461" spans="1:10" ht="12.95" customHeight="1" outlineLevel="1">
      <c r="A461" s="17" t="s">
        <v>636</v>
      </c>
      <c r="B461" s="83" t="s">
        <v>557</v>
      </c>
      <c r="C461" s="42" t="s">
        <v>558</v>
      </c>
      <c r="D461" s="117" t="s">
        <v>586</v>
      </c>
      <c r="E461" s="123" t="s">
        <v>843</v>
      </c>
      <c r="F461" s="36" t="s">
        <v>592</v>
      </c>
      <c r="G461" s="39">
        <v>60</v>
      </c>
      <c r="H461" s="23"/>
      <c r="I461" s="120">
        <f t="shared" si="52"/>
        <v>0</v>
      </c>
      <c r="J461" s="120">
        <f t="shared" si="53"/>
        <v>0</v>
      </c>
    </row>
    <row r="462" spans="1:10" ht="12.95" customHeight="1" outlineLevel="1">
      <c r="A462" s="17" t="s">
        <v>643</v>
      </c>
      <c r="B462" s="83" t="s">
        <v>559</v>
      </c>
      <c r="C462" s="42">
        <v>906025</v>
      </c>
      <c r="D462" s="117" t="s">
        <v>644</v>
      </c>
      <c r="E462" s="123" t="s">
        <v>741</v>
      </c>
      <c r="F462" s="36" t="s">
        <v>685</v>
      </c>
      <c r="G462" s="39">
        <v>4</v>
      </c>
      <c r="H462" s="23"/>
      <c r="I462" s="120">
        <f t="shared" si="52"/>
        <v>0</v>
      </c>
      <c r="J462" s="120">
        <f t="shared" si="53"/>
        <v>0</v>
      </c>
    </row>
    <row r="463" spans="1:10" ht="12.75" customHeight="1" outlineLevel="1">
      <c r="B463" s="20" t="s">
        <v>50</v>
      </c>
      <c r="C463" s="28"/>
      <c r="D463" s="20"/>
      <c r="E463" s="22"/>
      <c r="F463" s="22"/>
      <c r="G463" s="23"/>
      <c r="H463" s="25"/>
      <c r="I463" s="22"/>
      <c r="J463" s="24">
        <f>SUM(J433:J462)</f>
        <v>0</v>
      </c>
    </row>
    <row r="464" spans="1:10" ht="12.95" customHeight="1">
      <c r="A464" s="16" t="s">
        <v>636</v>
      </c>
      <c r="B464" s="20" t="s">
        <v>560</v>
      </c>
      <c r="C464" s="130">
        <v>1300000</v>
      </c>
      <c r="D464" s="114"/>
      <c r="E464" s="115" t="s">
        <v>642</v>
      </c>
      <c r="F464" s="22"/>
      <c r="G464" s="23"/>
      <c r="H464" s="25"/>
      <c r="I464" s="22"/>
      <c r="J464" s="24"/>
    </row>
    <row r="465" spans="1:12" ht="12.95" customHeight="1" outlineLevel="1">
      <c r="A465" s="17" t="s">
        <v>643</v>
      </c>
      <c r="B465" s="83" t="s">
        <v>561</v>
      </c>
      <c r="C465" s="137">
        <v>106001</v>
      </c>
      <c r="D465" s="117" t="s">
        <v>644</v>
      </c>
      <c r="E465" s="123" t="s">
        <v>677</v>
      </c>
      <c r="F465" s="36" t="s">
        <v>656</v>
      </c>
      <c r="G465" s="119">
        <f>569+192+80+120</f>
        <v>961</v>
      </c>
      <c r="H465" s="23"/>
      <c r="I465" s="120">
        <f t="shared" ref="I465:I467" si="54">H465*$J$9</f>
        <v>0</v>
      </c>
      <c r="J465" s="120">
        <f>ROUND(G465*I465,2)</f>
        <v>0</v>
      </c>
    </row>
    <row r="466" spans="1:12" ht="12.95" customHeight="1" outlineLevel="1">
      <c r="A466" s="17" t="s">
        <v>636</v>
      </c>
      <c r="B466" s="83" t="s">
        <v>562</v>
      </c>
      <c r="C466" s="126" t="s">
        <v>49</v>
      </c>
      <c r="D466" s="117" t="s">
        <v>586</v>
      </c>
      <c r="E466" s="123" t="s">
        <v>671</v>
      </c>
      <c r="F466" s="36" t="s">
        <v>32</v>
      </c>
      <c r="G466" s="119">
        <f>(187.5+700)*0.05</f>
        <v>44.375</v>
      </c>
      <c r="H466" s="23"/>
      <c r="I466" s="120">
        <f t="shared" si="54"/>
        <v>0</v>
      </c>
      <c r="J466" s="120">
        <f t="shared" ref="J466:J467" si="55">ROUND(G466*I466,2)</f>
        <v>0</v>
      </c>
    </row>
    <row r="467" spans="1:12" ht="12.95" customHeight="1" outlineLevel="1">
      <c r="A467" s="17" t="s">
        <v>636</v>
      </c>
      <c r="B467" s="83" t="s">
        <v>563</v>
      </c>
      <c r="C467" s="131" t="s">
        <v>76</v>
      </c>
      <c r="D467" s="117" t="s">
        <v>586</v>
      </c>
      <c r="E467" s="123" t="s">
        <v>679</v>
      </c>
      <c r="F467" s="36" t="s">
        <v>32</v>
      </c>
      <c r="G467" s="119">
        <f>(187.5+100)*0.07</f>
        <v>20.125000000000004</v>
      </c>
      <c r="H467" s="23"/>
      <c r="I467" s="120">
        <f t="shared" si="54"/>
        <v>0</v>
      </c>
      <c r="J467" s="120">
        <f t="shared" si="55"/>
        <v>0</v>
      </c>
      <c r="L467" s="44"/>
    </row>
    <row r="468" spans="1:12" ht="12.95" customHeight="1" outlineLevel="1">
      <c r="B468" s="20" t="s">
        <v>36</v>
      </c>
      <c r="C468" s="28"/>
      <c r="D468" s="20"/>
      <c r="E468" s="22"/>
      <c r="F468" s="22"/>
      <c r="G468" s="23"/>
      <c r="H468" s="25"/>
      <c r="I468" s="22"/>
      <c r="J468" s="24">
        <f>SUM(J465:J467)</f>
        <v>0</v>
      </c>
    </row>
    <row r="469" spans="1:12" ht="12.95" customHeight="1">
      <c r="A469" s="16" t="s">
        <v>636</v>
      </c>
      <c r="B469" s="20" t="s">
        <v>564</v>
      </c>
      <c r="C469" s="132">
        <v>1600000</v>
      </c>
      <c r="D469" s="114"/>
      <c r="E469" s="115" t="s">
        <v>645</v>
      </c>
      <c r="F469" s="22"/>
      <c r="G469" s="23"/>
      <c r="H469" s="25"/>
      <c r="I469" s="22"/>
      <c r="J469" s="24"/>
    </row>
    <row r="470" spans="1:12" ht="25.5" outlineLevel="1">
      <c r="A470" s="17" t="s">
        <v>636</v>
      </c>
      <c r="B470" s="83" t="s">
        <v>565</v>
      </c>
      <c r="C470" s="131" t="s">
        <v>349</v>
      </c>
      <c r="D470" s="117" t="s">
        <v>586</v>
      </c>
      <c r="E470" s="123" t="s">
        <v>687</v>
      </c>
      <c r="F470" s="36" t="s">
        <v>32</v>
      </c>
      <c r="G470" s="119">
        <v>30</v>
      </c>
      <c r="H470" s="23"/>
      <c r="I470" s="120">
        <f t="shared" ref="I470:I481" si="56">H470*$J$9</f>
        <v>0</v>
      </c>
      <c r="J470" s="120">
        <f t="shared" ref="J470:J486" si="57">ROUND(G470*I470,2)</f>
        <v>0</v>
      </c>
    </row>
    <row r="471" spans="1:12" ht="12.95" customHeight="1" outlineLevel="1">
      <c r="A471" s="17" t="s">
        <v>636</v>
      </c>
      <c r="B471" s="83" t="s">
        <v>566</v>
      </c>
      <c r="C471" s="126" t="s">
        <v>567</v>
      </c>
      <c r="D471" s="156" t="s">
        <v>586</v>
      </c>
      <c r="E471" s="123" t="s">
        <v>808</v>
      </c>
      <c r="F471" s="36" t="s">
        <v>599</v>
      </c>
      <c r="G471" s="157">
        <v>15</v>
      </c>
      <c r="H471" s="23"/>
      <c r="I471" s="144">
        <f t="shared" si="56"/>
        <v>0</v>
      </c>
      <c r="J471" s="144">
        <f t="shared" si="57"/>
        <v>0</v>
      </c>
    </row>
    <row r="472" spans="1:12" ht="12.95" customHeight="1" outlineLevel="1">
      <c r="A472" s="17" t="s">
        <v>636</v>
      </c>
      <c r="B472" s="83" t="s">
        <v>568</v>
      </c>
      <c r="C472" s="126" t="s">
        <v>569</v>
      </c>
      <c r="D472" s="156" t="s">
        <v>586</v>
      </c>
      <c r="E472" s="123" t="s">
        <v>809</v>
      </c>
      <c r="F472" s="36" t="s">
        <v>599</v>
      </c>
      <c r="G472" s="157">
        <v>15</v>
      </c>
      <c r="H472" s="23"/>
      <c r="I472" s="144">
        <f t="shared" si="56"/>
        <v>0</v>
      </c>
      <c r="J472" s="144">
        <f t="shared" si="57"/>
        <v>0</v>
      </c>
    </row>
    <row r="473" spans="1:12" ht="12.95" customHeight="1" outlineLevel="1">
      <c r="A473" s="17" t="s">
        <v>636</v>
      </c>
      <c r="B473" s="83" t="s">
        <v>570</v>
      </c>
      <c r="C473" s="126" t="s">
        <v>571</v>
      </c>
      <c r="D473" s="156" t="s">
        <v>586</v>
      </c>
      <c r="E473" s="123" t="s">
        <v>810</v>
      </c>
      <c r="F473" s="36" t="s">
        <v>599</v>
      </c>
      <c r="G473" s="157">
        <v>15</v>
      </c>
      <c r="H473" s="23"/>
      <c r="I473" s="144">
        <f t="shared" si="56"/>
        <v>0</v>
      </c>
      <c r="J473" s="144">
        <f t="shared" si="57"/>
        <v>0</v>
      </c>
    </row>
    <row r="474" spans="1:12" ht="12.95" customHeight="1" outlineLevel="1">
      <c r="A474" s="17" t="s">
        <v>636</v>
      </c>
      <c r="B474" s="83" t="s">
        <v>572</v>
      </c>
      <c r="C474" s="126" t="s">
        <v>573</v>
      </c>
      <c r="D474" s="156" t="s">
        <v>586</v>
      </c>
      <c r="E474" s="123" t="s">
        <v>811</v>
      </c>
      <c r="F474" s="36" t="s">
        <v>599</v>
      </c>
      <c r="G474" s="157">
        <v>15</v>
      </c>
      <c r="H474" s="23"/>
      <c r="I474" s="144">
        <f t="shared" si="56"/>
        <v>0</v>
      </c>
      <c r="J474" s="144">
        <f t="shared" si="57"/>
        <v>0</v>
      </c>
    </row>
    <row r="475" spans="1:12" ht="12.95" customHeight="1" outlineLevel="1">
      <c r="A475" s="17" t="s">
        <v>636</v>
      </c>
      <c r="B475" s="83" t="s">
        <v>574</v>
      </c>
      <c r="C475" s="150" t="s">
        <v>575</v>
      </c>
      <c r="D475" s="156" t="s">
        <v>586</v>
      </c>
      <c r="E475" s="123" t="s">
        <v>812</v>
      </c>
      <c r="F475" s="36" t="s">
        <v>655</v>
      </c>
      <c r="G475" s="157">
        <v>500</v>
      </c>
      <c r="H475" s="23"/>
      <c r="I475" s="144">
        <f t="shared" si="56"/>
        <v>0</v>
      </c>
      <c r="J475" s="144">
        <f t="shared" si="57"/>
        <v>0</v>
      </c>
    </row>
    <row r="476" spans="1:12" outlineLevel="1">
      <c r="A476" s="17" t="s">
        <v>636</v>
      </c>
      <c r="B476" s="83" t="s">
        <v>576</v>
      </c>
      <c r="C476" s="165" t="s">
        <v>79</v>
      </c>
      <c r="D476" s="142" t="s">
        <v>586</v>
      </c>
      <c r="E476" s="123" t="s">
        <v>680</v>
      </c>
      <c r="F476" s="36" t="s">
        <v>654</v>
      </c>
      <c r="G476" s="157">
        <f>65+121+380+460+483</f>
        <v>1509</v>
      </c>
      <c r="H476" s="23"/>
      <c r="I476" s="144">
        <f t="shared" si="56"/>
        <v>0</v>
      </c>
      <c r="J476" s="144">
        <f t="shared" si="57"/>
        <v>0</v>
      </c>
    </row>
    <row r="477" spans="1:12" outlineLevel="1">
      <c r="A477" s="17" t="s">
        <v>636</v>
      </c>
      <c r="B477" s="83" t="s">
        <v>577</v>
      </c>
      <c r="C477" s="125" t="s">
        <v>578</v>
      </c>
      <c r="D477" s="142" t="s">
        <v>586</v>
      </c>
      <c r="E477" s="123" t="s">
        <v>813</v>
      </c>
      <c r="F477" s="36" t="s">
        <v>654</v>
      </c>
      <c r="G477" s="157">
        <v>1</v>
      </c>
      <c r="H477" s="23"/>
      <c r="I477" s="144">
        <f t="shared" si="56"/>
        <v>0</v>
      </c>
      <c r="J477" s="144">
        <f t="shared" si="57"/>
        <v>0</v>
      </c>
    </row>
    <row r="478" spans="1:12" ht="12.95" customHeight="1" outlineLevel="1">
      <c r="A478" s="17" t="s">
        <v>636</v>
      </c>
      <c r="B478" s="354" t="s">
        <v>579</v>
      </c>
      <c r="C478" s="356" t="s">
        <v>81</v>
      </c>
      <c r="D478" s="357" t="s">
        <v>586</v>
      </c>
      <c r="E478" s="122" t="s">
        <v>681</v>
      </c>
      <c r="F478" s="354" t="s">
        <v>32</v>
      </c>
      <c r="G478" s="359">
        <v>0.8</v>
      </c>
      <c r="H478" s="359"/>
      <c r="I478" s="344">
        <f>H478*$J$9</f>
        <v>0</v>
      </c>
      <c r="J478" s="344">
        <f>ROUND(G478*I478,2)</f>
        <v>0</v>
      </c>
    </row>
    <row r="479" spans="1:12" ht="12.95" customHeight="1" outlineLevel="1">
      <c r="A479" s="17" t="s">
        <v>646</v>
      </c>
      <c r="B479" s="355"/>
      <c r="C479" s="356"/>
      <c r="D479" s="358"/>
      <c r="E479" s="123" t="s">
        <v>580</v>
      </c>
      <c r="F479" s="355"/>
      <c r="G479" s="360"/>
      <c r="H479" s="360"/>
      <c r="I479" s="345"/>
      <c r="J479" s="345"/>
    </row>
    <row r="480" spans="1:12" outlineLevel="1">
      <c r="A480" s="17" t="s">
        <v>636</v>
      </c>
      <c r="B480" s="83" t="s">
        <v>581</v>
      </c>
      <c r="C480" s="166" t="s">
        <v>582</v>
      </c>
      <c r="D480" s="142" t="s">
        <v>586</v>
      </c>
      <c r="E480" s="123" t="s">
        <v>814</v>
      </c>
      <c r="F480" s="36" t="s">
        <v>599</v>
      </c>
      <c r="G480" s="157">
        <v>1</v>
      </c>
      <c r="H480" s="23"/>
      <c r="I480" s="144">
        <f t="shared" ref="I480" si="58">H480*$J$9</f>
        <v>0</v>
      </c>
      <c r="J480" s="144">
        <f t="shared" ref="J480" si="59">ROUND(G480*I480,2)</f>
        <v>0</v>
      </c>
    </row>
    <row r="481" spans="1:12" s="51" customFormat="1" ht="27" hidden="1" customHeight="1" outlineLevel="1">
      <c r="A481" s="50" t="s">
        <v>636</v>
      </c>
      <c r="B481" s="83" t="s">
        <v>583</v>
      </c>
      <c r="C481" s="167" t="s">
        <v>584</v>
      </c>
      <c r="D481" s="168" t="s">
        <v>586</v>
      </c>
      <c r="E481" s="169" t="s">
        <v>815</v>
      </c>
      <c r="F481" s="170" t="s">
        <v>599</v>
      </c>
      <c r="G481" s="171">
        <v>0</v>
      </c>
      <c r="H481" s="172"/>
      <c r="I481" s="173">
        <f t="shared" si="56"/>
        <v>0</v>
      </c>
      <c r="J481" s="173">
        <f t="shared" si="57"/>
        <v>0</v>
      </c>
    </row>
    <row r="482" spans="1:12" ht="37.5" customHeight="1" outlineLevel="1">
      <c r="B482" s="83" t="s">
        <v>583</v>
      </c>
      <c r="C482" s="174" t="s">
        <v>585</v>
      </c>
      <c r="D482" s="175" t="s">
        <v>586</v>
      </c>
      <c r="E482" s="118" t="s">
        <v>587</v>
      </c>
      <c r="F482" s="176" t="s">
        <v>588</v>
      </c>
      <c r="G482" s="52">
        <v>1</v>
      </c>
      <c r="H482" s="177"/>
      <c r="I482" s="178">
        <f>H482*$J$9</f>
        <v>0</v>
      </c>
      <c r="J482" s="144">
        <f t="shared" si="57"/>
        <v>0</v>
      </c>
    </row>
    <row r="483" spans="1:12" ht="25.5" customHeight="1" outlineLevel="1">
      <c r="B483" s="83" t="s">
        <v>589</v>
      </c>
      <c r="C483" s="174" t="s">
        <v>590</v>
      </c>
      <c r="D483" s="175" t="s">
        <v>586</v>
      </c>
      <c r="E483" s="118" t="s">
        <v>591</v>
      </c>
      <c r="F483" s="176" t="s">
        <v>592</v>
      </c>
      <c r="G483" s="52">
        <v>75</v>
      </c>
      <c r="H483" s="52"/>
      <c r="I483" s="178">
        <f>H483*$J$9</f>
        <v>0</v>
      </c>
      <c r="J483" s="144">
        <f t="shared" si="57"/>
        <v>0</v>
      </c>
    </row>
    <row r="484" spans="1:12" ht="27.75" customHeight="1" outlineLevel="1">
      <c r="B484" s="83" t="s">
        <v>593</v>
      </c>
      <c r="C484" s="174" t="s">
        <v>594</v>
      </c>
      <c r="D484" s="175" t="s">
        <v>586</v>
      </c>
      <c r="E484" s="118" t="s">
        <v>595</v>
      </c>
      <c r="F484" s="176" t="s">
        <v>592</v>
      </c>
      <c r="G484" s="52">
        <v>75</v>
      </c>
      <c r="H484" s="52"/>
      <c r="I484" s="178">
        <f>H484*$J$9</f>
        <v>0</v>
      </c>
      <c r="J484" s="144">
        <f t="shared" si="57"/>
        <v>0</v>
      </c>
    </row>
    <row r="485" spans="1:12" ht="14.25" customHeight="1" outlineLevel="1">
      <c r="B485" s="83" t="s">
        <v>596</v>
      </c>
      <c r="C485" s="174" t="s">
        <v>597</v>
      </c>
      <c r="D485" s="175" t="s">
        <v>586</v>
      </c>
      <c r="E485" s="179" t="s">
        <v>598</v>
      </c>
      <c r="F485" s="176" t="s">
        <v>599</v>
      </c>
      <c r="G485" s="52">
        <v>1</v>
      </c>
      <c r="H485" s="52"/>
      <c r="I485" s="178">
        <f>H485*$J$9</f>
        <v>0</v>
      </c>
      <c r="J485" s="144">
        <f t="shared" si="57"/>
        <v>0</v>
      </c>
    </row>
    <row r="486" spans="1:12" outlineLevel="1">
      <c r="A486" s="17" t="s">
        <v>636</v>
      </c>
      <c r="B486" s="83" t="s">
        <v>600</v>
      </c>
      <c r="C486" s="125" t="s">
        <v>601</v>
      </c>
      <c r="D486" s="142" t="s">
        <v>586</v>
      </c>
      <c r="E486" s="123" t="s">
        <v>844</v>
      </c>
      <c r="F486" s="36" t="s">
        <v>599</v>
      </c>
      <c r="G486" s="157">
        <v>1</v>
      </c>
      <c r="H486" s="180"/>
      <c r="I486" s="144">
        <f t="shared" ref="I486" si="60">H486*$J$9</f>
        <v>0</v>
      </c>
      <c r="J486" s="144">
        <f t="shared" si="57"/>
        <v>0</v>
      </c>
    </row>
    <row r="487" spans="1:12" ht="12.95" customHeight="1" outlineLevel="1">
      <c r="A487" s="17" t="s">
        <v>636</v>
      </c>
      <c r="B487" s="354" t="s">
        <v>602</v>
      </c>
      <c r="C487" s="356" t="s">
        <v>81</v>
      </c>
      <c r="D487" s="357" t="s">
        <v>586</v>
      </c>
      <c r="E487" s="122" t="s">
        <v>681</v>
      </c>
      <c r="F487" s="354" t="s">
        <v>32</v>
      </c>
      <c r="G487" s="359">
        <f>18*0.05*0.25*1.2*(2)</f>
        <v>0.54</v>
      </c>
      <c r="H487" s="359"/>
      <c r="I487" s="344">
        <f>H487*$J$9</f>
        <v>0</v>
      </c>
      <c r="J487" s="344">
        <f>ROUND(G487*I487,2)</f>
        <v>0</v>
      </c>
    </row>
    <row r="488" spans="1:12" ht="12.95" customHeight="1" outlineLevel="1">
      <c r="A488" s="17" t="s">
        <v>646</v>
      </c>
      <c r="B488" s="355"/>
      <c r="C488" s="356"/>
      <c r="D488" s="358"/>
      <c r="E488" s="123" t="s">
        <v>603</v>
      </c>
      <c r="F488" s="355"/>
      <c r="G488" s="360"/>
      <c r="H488" s="360"/>
      <c r="I488" s="345"/>
      <c r="J488" s="345"/>
    </row>
    <row r="489" spans="1:12" ht="12.75" customHeight="1" outlineLevel="1" thickBot="1">
      <c r="B489" s="20" t="s">
        <v>50</v>
      </c>
      <c r="C489" s="20"/>
      <c r="D489" s="20"/>
      <c r="E489" s="29"/>
      <c r="F489" s="22"/>
      <c r="G489" s="23"/>
      <c r="H489" s="25"/>
      <c r="I489" s="22"/>
      <c r="J489" s="24">
        <f>SUM(J470:J488)</f>
        <v>0</v>
      </c>
    </row>
    <row r="490" spans="1:12" ht="18" customHeight="1" thickBot="1">
      <c r="B490" s="346" t="s">
        <v>90</v>
      </c>
      <c r="C490" s="347"/>
      <c r="D490" s="347"/>
      <c r="E490" s="347"/>
      <c r="F490" s="347"/>
      <c r="G490" s="347"/>
      <c r="H490" s="348"/>
      <c r="I490" s="349">
        <f>J412+J428+J431+J463+J468+J489</f>
        <v>0</v>
      </c>
      <c r="J490" s="350"/>
      <c r="K490" s="30"/>
      <c r="L490" s="44">
        <f>I490/81</f>
        <v>0</v>
      </c>
    </row>
    <row r="491" spans="1:12" ht="15" thickBot="1">
      <c r="B491" s="333"/>
      <c r="C491" s="181"/>
      <c r="D491" s="182"/>
      <c r="E491" s="181"/>
      <c r="F491" s="181"/>
      <c r="G491" s="182"/>
      <c r="H491" s="183"/>
    </row>
    <row r="492" spans="1:12" ht="24" thickBot="1">
      <c r="B492" s="334"/>
      <c r="C492" s="184"/>
      <c r="D492" s="185"/>
      <c r="E492" s="186" t="s">
        <v>604</v>
      </c>
      <c r="F492" s="184"/>
      <c r="G492" s="185"/>
      <c r="H492" s="187"/>
      <c r="I492" s="188"/>
      <c r="J492" s="189"/>
    </row>
    <row r="493" spans="1:12" ht="15" thickBot="1">
      <c r="B493" s="333"/>
      <c r="C493" s="181"/>
      <c r="D493" s="182"/>
      <c r="E493" s="181"/>
      <c r="F493" s="181"/>
      <c r="G493" s="182"/>
      <c r="H493" s="183"/>
      <c r="J493" s="1"/>
    </row>
    <row r="494" spans="1:12" ht="15">
      <c r="B494" s="335" t="str">
        <f>B9</f>
        <v>Planilha</v>
      </c>
      <c r="C494" s="190">
        <f>C9</f>
        <v>1</v>
      </c>
      <c r="D494" s="191" t="str">
        <f>E9</f>
        <v>Planilha Orçamentária Jazigos tamanho padrão (1,00x2,30*0,66 )m</v>
      </c>
      <c r="E494" s="192"/>
      <c r="F494" s="193">
        <f>F6</f>
        <v>90</v>
      </c>
      <c r="G494" s="194" t="s">
        <v>605</v>
      </c>
      <c r="H494" s="194">
        <f>H6</f>
        <v>540</v>
      </c>
      <c r="I494" s="195" t="s">
        <v>606</v>
      </c>
      <c r="J494" s="196">
        <f>I63</f>
        <v>0</v>
      </c>
    </row>
    <row r="495" spans="1:12" ht="15">
      <c r="B495" s="336" t="str">
        <f>B9</f>
        <v>Planilha</v>
      </c>
      <c r="C495" s="197">
        <f>C65</f>
        <v>2</v>
      </c>
      <c r="D495" s="198" t="str">
        <f>E65</f>
        <v>Planilha Orçamentária Jazigos tamanho especial (1,30x2,30*0,86 )m</v>
      </c>
      <c r="E495" s="199"/>
      <c r="F495" s="200">
        <f>F7</f>
        <v>7</v>
      </c>
      <c r="G495" s="201" t="s">
        <v>605</v>
      </c>
      <c r="H495" s="202">
        <f>H7</f>
        <v>42</v>
      </c>
      <c r="I495" s="203" t="s">
        <v>606</v>
      </c>
      <c r="J495" s="204">
        <f>I113</f>
        <v>0</v>
      </c>
    </row>
    <row r="496" spans="1:12" ht="15.75">
      <c r="B496" s="336" t="str">
        <f>B9</f>
        <v>Planilha</v>
      </c>
      <c r="C496" s="197">
        <f>C115</f>
        <v>3</v>
      </c>
      <c r="D496" s="198" t="str">
        <f>E115</f>
        <v>Planilha Orçamentária Administração</v>
      </c>
      <c r="E496" s="199"/>
      <c r="F496" s="201"/>
      <c r="G496" s="205"/>
      <c r="H496" s="206"/>
      <c r="I496" s="207"/>
      <c r="J496" s="204">
        <f>I273</f>
        <v>0</v>
      </c>
    </row>
    <row r="497" spans="1:10" ht="15.75">
      <c r="B497" s="336" t="str">
        <f>B9</f>
        <v>Planilha</v>
      </c>
      <c r="C497" s="197">
        <f>C275</f>
        <v>4</v>
      </c>
      <c r="D497" s="198" t="str">
        <f>E275</f>
        <v>Planilha Orçamentária Depósito e Serviços</v>
      </c>
      <c r="E497" s="199"/>
      <c r="F497" s="201"/>
      <c r="G497" s="205"/>
      <c r="H497" s="206"/>
      <c r="I497" s="207"/>
      <c r="J497" s="204">
        <f>I404</f>
        <v>0</v>
      </c>
    </row>
    <row r="498" spans="1:10" ht="16.5" thickBot="1">
      <c r="B498" s="337" t="str">
        <f>B9</f>
        <v>Planilha</v>
      </c>
      <c r="C498" s="208">
        <f>C406</f>
        <v>5</v>
      </c>
      <c r="D498" s="209" t="str">
        <f>E406</f>
        <v>Planilha Orçamentária Area Externa</v>
      </c>
      <c r="E498" s="210"/>
      <c r="F498" s="211"/>
      <c r="G498" s="212"/>
      <c r="H498" s="213"/>
      <c r="I498" s="214"/>
      <c r="J498" s="215">
        <f>I490</f>
        <v>0</v>
      </c>
    </row>
    <row r="499" spans="1:10" ht="15.75" thickBot="1">
      <c r="B499" s="333"/>
      <c r="C499" s="181"/>
      <c r="D499" s="182"/>
      <c r="E499" s="181"/>
      <c r="F499" s="181"/>
      <c r="G499" s="182"/>
      <c r="H499" s="183"/>
      <c r="J499" s="216">
        <f>SUM(J494:J498)</f>
        <v>0</v>
      </c>
    </row>
    <row r="500" spans="1:10" ht="15">
      <c r="B500" s="333"/>
      <c r="C500" s="181"/>
      <c r="D500" s="182"/>
      <c r="E500" s="181"/>
      <c r="F500" s="181"/>
      <c r="G500" s="182"/>
      <c r="H500" s="183"/>
      <c r="J500" s="54"/>
    </row>
    <row r="501" spans="1:10" s="57" customFormat="1" ht="12.95" customHeight="1">
      <c r="A501" s="1"/>
      <c r="B501" s="338"/>
      <c r="C501" s="217"/>
      <c r="D501" s="218"/>
      <c r="E501" s="218"/>
      <c r="F501" s="218"/>
      <c r="G501" s="218"/>
      <c r="H501" s="218"/>
      <c r="I501" s="55"/>
      <c r="J501" s="56"/>
    </row>
    <row r="502" spans="1:10" ht="12.95" customHeight="1">
      <c r="B502" s="351"/>
      <c r="C502" s="352"/>
      <c r="D502" s="352"/>
      <c r="E502" s="352"/>
      <c r="F502" s="352"/>
      <c r="G502" s="352"/>
      <c r="H502" s="352"/>
      <c r="I502" s="352"/>
      <c r="J502" s="353"/>
    </row>
    <row r="503" spans="1:10" ht="12.95" customHeight="1">
      <c r="B503" s="351"/>
      <c r="C503" s="352"/>
      <c r="D503" s="352"/>
      <c r="E503" s="352"/>
      <c r="F503" s="352"/>
      <c r="G503" s="352"/>
      <c r="H503" s="352"/>
      <c r="I503" s="352"/>
      <c r="J503" s="353"/>
    </row>
    <row r="504" spans="1:10" ht="27.75" customHeight="1">
      <c r="B504" s="351"/>
      <c r="C504" s="352"/>
      <c r="D504" s="352"/>
      <c r="E504" s="352"/>
      <c r="F504" s="352"/>
      <c r="G504" s="352"/>
      <c r="H504" s="352"/>
      <c r="I504" s="352"/>
      <c r="J504" s="353"/>
    </row>
    <row r="505" spans="1:10" ht="12.95" hidden="1" customHeight="1">
      <c r="B505" s="339"/>
      <c r="C505" s="219"/>
      <c r="D505" s="220"/>
      <c r="E505" s="220"/>
      <c r="F505" s="220"/>
      <c r="G505" s="220"/>
      <c r="H505" s="220"/>
      <c r="I505" s="58"/>
      <c r="J505" s="59"/>
    </row>
    <row r="506" spans="1:10" ht="12.95" hidden="1" customHeight="1">
      <c r="B506" s="339"/>
      <c r="C506" s="219"/>
      <c r="D506" s="220"/>
      <c r="E506" s="220"/>
      <c r="F506" s="220"/>
      <c r="G506" s="220"/>
      <c r="H506" s="220"/>
      <c r="I506" s="58"/>
      <c r="J506" s="59"/>
    </row>
    <row r="507" spans="1:10" ht="12.95" hidden="1" customHeight="1">
      <c r="B507" s="339"/>
      <c r="C507" s="219"/>
      <c r="D507" s="220"/>
      <c r="E507" s="220"/>
      <c r="F507" s="220"/>
      <c r="G507" s="220"/>
      <c r="H507" s="220"/>
      <c r="I507" s="58"/>
      <c r="J507" s="59"/>
    </row>
    <row r="508" spans="1:10" ht="12.95" hidden="1" customHeight="1">
      <c r="B508" s="60"/>
      <c r="C508" s="219"/>
      <c r="D508" s="220"/>
      <c r="E508" s="220"/>
      <c r="F508" s="220"/>
      <c r="G508" s="220"/>
      <c r="H508" s="220"/>
      <c r="I508" s="58"/>
      <c r="J508" s="59"/>
    </row>
    <row r="509" spans="1:10" ht="12.95" hidden="1" customHeight="1">
      <c r="B509" s="339"/>
      <c r="C509" s="219"/>
      <c r="D509" s="220"/>
      <c r="E509" s="220"/>
      <c r="F509" s="220"/>
      <c r="G509" s="220"/>
      <c r="H509" s="220"/>
      <c r="I509" s="58"/>
      <c r="J509" s="59"/>
    </row>
    <row r="510" spans="1:10" ht="12.75" hidden="1" customHeight="1">
      <c r="B510" s="339"/>
      <c r="C510" s="219"/>
      <c r="D510" s="220"/>
      <c r="E510" s="220"/>
      <c r="F510" s="220"/>
      <c r="G510" s="220"/>
      <c r="H510" s="220"/>
      <c r="I510" s="58"/>
      <c r="J510" s="59"/>
    </row>
    <row r="511" spans="1:10">
      <c r="B511" s="341"/>
      <c r="C511" s="342"/>
      <c r="D511" s="342"/>
      <c r="E511" s="342"/>
      <c r="F511" s="342"/>
      <c r="G511" s="342"/>
      <c r="H511" s="342"/>
      <c r="I511" s="342"/>
      <c r="J511" s="343"/>
    </row>
    <row r="512" spans="1:10" ht="14.25">
      <c r="B512" s="333"/>
      <c r="C512" s="181"/>
      <c r="D512" s="182"/>
      <c r="E512" s="181"/>
      <c r="F512" s="181"/>
      <c r="G512" s="182"/>
      <c r="H512" s="183"/>
    </row>
    <row r="513" spans="2:10" ht="14.25">
      <c r="B513" s="333"/>
      <c r="C513" s="181"/>
      <c r="D513" s="182"/>
      <c r="E513" s="181"/>
      <c r="F513" s="181"/>
      <c r="G513" s="182"/>
      <c r="H513" s="183"/>
      <c r="J513" s="61"/>
    </row>
    <row r="514" spans="2:10" ht="14.25">
      <c r="B514" s="333"/>
      <c r="C514" s="181"/>
      <c r="D514" s="182"/>
      <c r="E514" s="181"/>
      <c r="F514" s="181"/>
      <c r="G514" s="182"/>
      <c r="H514" s="183"/>
    </row>
    <row r="515" spans="2:10" ht="14.25">
      <c r="B515" s="333"/>
      <c r="C515" s="181"/>
      <c r="D515" s="182"/>
      <c r="E515" s="181"/>
      <c r="F515" s="181"/>
      <c r="G515" s="182"/>
      <c r="H515" s="183"/>
      <c r="J515" s="1"/>
    </row>
    <row r="516" spans="2:10" ht="14.25">
      <c r="B516" s="333"/>
      <c r="C516" s="181"/>
      <c r="D516" s="182"/>
      <c r="E516" s="181"/>
      <c r="F516" s="181"/>
      <c r="G516" s="182"/>
      <c r="H516" s="183"/>
    </row>
    <row r="517" spans="2:10" ht="14.25">
      <c r="B517" s="333"/>
      <c r="C517" s="181"/>
      <c r="D517" s="182"/>
      <c r="E517" s="181"/>
      <c r="F517" s="181"/>
      <c r="G517" s="182"/>
      <c r="H517" s="183"/>
    </row>
    <row r="518" spans="2:10" ht="14.25">
      <c r="B518" s="333"/>
      <c r="C518" s="181"/>
      <c r="D518" s="182"/>
      <c r="E518" s="181"/>
      <c r="F518" s="181"/>
      <c r="G518" s="182"/>
      <c r="H518" s="183"/>
    </row>
    <row r="519" spans="2:10" ht="14.25">
      <c r="B519" s="333"/>
      <c r="C519" s="181"/>
      <c r="D519" s="182"/>
      <c r="E519" s="181"/>
      <c r="F519" s="181"/>
      <c r="G519" s="182"/>
      <c r="H519" s="183"/>
    </row>
    <row r="520" spans="2:10" ht="14.25">
      <c r="B520" s="333"/>
      <c r="C520" s="181"/>
      <c r="D520" s="182"/>
      <c r="E520" s="181"/>
      <c r="F520" s="181"/>
      <c r="G520" s="182"/>
      <c r="H520" s="183"/>
    </row>
    <row r="521" spans="2:10" ht="14.25">
      <c r="B521" s="333"/>
      <c r="C521" s="181"/>
      <c r="D521" s="182"/>
      <c r="E521" s="181"/>
      <c r="F521" s="181"/>
      <c r="G521" s="182"/>
      <c r="H521" s="183"/>
    </row>
    <row r="522" spans="2:10" ht="14.25">
      <c r="B522" s="333"/>
      <c r="C522" s="181"/>
      <c r="D522" s="182"/>
      <c r="E522" s="181"/>
      <c r="F522" s="181"/>
      <c r="G522" s="182"/>
      <c r="H522" s="183"/>
    </row>
    <row r="523" spans="2:10" ht="14.25">
      <c r="B523" s="340"/>
      <c r="C523" s="221"/>
      <c r="D523" s="222"/>
      <c r="E523" s="221"/>
      <c r="F523" s="221"/>
      <c r="G523" s="222"/>
      <c r="H523" s="223"/>
    </row>
    <row r="524" spans="2:10" ht="14.25">
      <c r="B524" s="340"/>
      <c r="C524" s="221"/>
      <c r="D524" s="222"/>
      <c r="E524" s="221"/>
      <c r="F524" s="221"/>
      <c r="G524" s="222"/>
      <c r="H524" s="223"/>
    </row>
    <row r="525" spans="2:10" ht="14.25">
      <c r="B525" s="340"/>
      <c r="C525" s="221"/>
      <c r="D525" s="222"/>
      <c r="E525" s="221"/>
      <c r="F525" s="221"/>
      <c r="G525" s="222"/>
      <c r="H525" s="223"/>
    </row>
  </sheetData>
  <dataConsolidate/>
  <mergeCells count="147">
    <mergeCell ref="D1:H1"/>
    <mergeCell ref="D2:H2"/>
    <mergeCell ref="D3:H3"/>
    <mergeCell ref="D4:H4"/>
    <mergeCell ref="F5:G5"/>
    <mergeCell ref="B17:B18"/>
    <mergeCell ref="C17:C18"/>
    <mergeCell ref="D17:D18"/>
    <mergeCell ref="F17:F18"/>
    <mergeCell ref="G17:G18"/>
    <mergeCell ref="H17:H18"/>
    <mergeCell ref="I17:I18"/>
    <mergeCell ref="J17:J18"/>
    <mergeCell ref="B54:B55"/>
    <mergeCell ref="C54:C55"/>
    <mergeCell ref="D54:D55"/>
    <mergeCell ref="F54:F55"/>
    <mergeCell ref="G54:G55"/>
    <mergeCell ref="H54:H55"/>
    <mergeCell ref="I54:I55"/>
    <mergeCell ref="J54:J55"/>
    <mergeCell ref="B56:B57"/>
    <mergeCell ref="C56:C57"/>
    <mergeCell ref="D56:D57"/>
    <mergeCell ref="F56:F57"/>
    <mergeCell ref="G56:G57"/>
    <mergeCell ref="H56:H57"/>
    <mergeCell ref="I56:I57"/>
    <mergeCell ref="J56:J57"/>
    <mergeCell ref="B63:H63"/>
    <mergeCell ref="I63:J63"/>
    <mergeCell ref="B72:B73"/>
    <mergeCell ref="C72:C73"/>
    <mergeCell ref="D72:D73"/>
    <mergeCell ref="F72:F73"/>
    <mergeCell ref="G72:G73"/>
    <mergeCell ref="H72:H73"/>
    <mergeCell ref="I72:I73"/>
    <mergeCell ref="J72:J73"/>
    <mergeCell ref="I108:I109"/>
    <mergeCell ref="J108:J109"/>
    <mergeCell ref="B110:B111"/>
    <mergeCell ref="C110:C111"/>
    <mergeCell ref="D110:D111"/>
    <mergeCell ref="F110:F111"/>
    <mergeCell ref="G110:G111"/>
    <mergeCell ref="H110:H111"/>
    <mergeCell ref="I110:I111"/>
    <mergeCell ref="J110:J111"/>
    <mergeCell ref="B108:B109"/>
    <mergeCell ref="C108:C109"/>
    <mergeCell ref="D108:D109"/>
    <mergeCell ref="F108:F109"/>
    <mergeCell ref="G108:G109"/>
    <mergeCell ref="H108:H109"/>
    <mergeCell ref="B113:H113"/>
    <mergeCell ref="I113:J113"/>
    <mergeCell ref="B137:B138"/>
    <mergeCell ref="C137:C138"/>
    <mergeCell ref="D137:D138"/>
    <mergeCell ref="F137:F138"/>
    <mergeCell ref="G137:G138"/>
    <mergeCell ref="H137:H138"/>
    <mergeCell ref="I137:I138"/>
    <mergeCell ref="J137:J138"/>
    <mergeCell ref="I145:I146"/>
    <mergeCell ref="J145:J146"/>
    <mergeCell ref="B175:B176"/>
    <mergeCell ref="C175:C176"/>
    <mergeCell ref="D175:D176"/>
    <mergeCell ref="F175:F176"/>
    <mergeCell ref="G175:G176"/>
    <mergeCell ref="H175:H176"/>
    <mergeCell ref="I175:I176"/>
    <mergeCell ref="J175:J176"/>
    <mergeCell ref="B145:B146"/>
    <mergeCell ref="C145:C146"/>
    <mergeCell ref="D145:D146"/>
    <mergeCell ref="F145:F146"/>
    <mergeCell ref="G145:G146"/>
    <mergeCell ref="H145:H146"/>
    <mergeCell ref="I246:I247"/>
    <mergeCell ref="J246:J247"/>
    <mergeCell ref="B248:B249"/>
    <mergeCell ref="C248:C249"/>
    <mergeCell ref="D248:D249"/>
    <mergeCell ref="F248:F249"/>
    <mergeCell ref="G248:G249"/>
    <mergeCell ref="H248:H249"/>
    <mergeCell ref="I248:I249"/>
    <mergeCell ref="J248:J249"/>
    <mergeCell ref="B246:B247"/>
    <mergeCell ref="C246:C247"/>
    <mergeCell ref="D246:D247"/>
    <mergeCell ref="F246:F247"/>
    <mergeCell ref="G246:G247"/>
    <mergeCell ref="H246:H247"/>
    <mergeCell ref="B273:H273"/>
    <mergeCell ref="I273:J273"/>
    <mergeCell ref="B329:B330"/>
    <mergeCell ref="C329:C330"/>
    <mergeCell ref="D329:D330"/>
    <mergeCell ref="F329:F330"/>
    <mergeCell ref="G329:G330"/>
    <mergeCell ref="H329:H330"/>
    <mergeCell ref="I329:I330"/>
    <mergeCell ref="J329:J330"/>
    <mergeCell ref="I389:I390"/>
    <mergeCell ref="J389:J390"/>
    <mergeCell ref="B404:H404"/>
    <mergeCell ref="I404:J404"/>
    <mergeCell ref="B409:B410"/>
    <mergeCell ref="C409:C410"/>
    <mergeCell ref="D409:D410"/>
    <mergeCell ref="F409:F410"/>
    <mergeCell ref="G409:G410"/>
    <mergeCell ref="H409:H410"/>
    <mergeCell ref="B389:B390"/>
    <mergeCell ref="C389:C390"/>
    <mergeCell ref="D389:D390"/>
    <mergeCell ref="F389:F390"/>
    <mergeCell ref="G389:G390"/>
    <mergeCell ref="H389:H390"/>
    <mergeCell ref="I409:I410"/>
    <mergeCell ref="J409:J410"/>
    <mergeCell ref="B478:B479"/>
    <mergeCell ref="C478:C479"/>
    <mergeCell ref="D478:D479"/>
    <mergeCell ref="F478:F479"/>
    <mergeCell ref="G478:G479"/>
    <mergeCell ref="H478:H479"/>
    <mergeCell ref="I478:I479"/>
    <mergeCell ref="J478:J479"/>
    <mergeCell ref="B504:J504"/>
    <mergeCell ref="B511:J511"/>
    <mergeCell ref="I487:I488"/>
    <mergeCell ref="J487:J488"/>
    <mergeCell ref="B490:H490"/>
    <mergeCell ref="I490:J490"/>
    <mergeCell ref="B502:J502"/>
    <mergeCell ref="B503:J503"/>
    <mergeCell ref="B487:B488"/>
    <mergeCell ref="C487:C488"/>
    <mergeCell ref="D487:D488"/>
    <mergeCell ref="F487:F488"/>
    <mergeCell ref="G487:G488"/>
    <mergeCell ref="H487:H488"/>
  </mergeCells>
  <conditionalFormatting sqref="G407:I407 G412 I412 G276:I276 G282 I282 G123 I123 G75 G66:I66 I75 G116:I116 G20 G10:I10 I20">
    <cfRule type="cellIs" dxfId="0" priority="1" stopIfTrue="1" operator="equal">
      <formula>0</formula>
    </cfRule>
  </conditionalFormatting>
  <printOptions horizontalCentered="1"/>
  <pageMargins left="0.59055118110236227" right="0.19685039370078741" top="0.39370078740157483" bottom="0.59055118110236227" header="0.35433070866141736" footer="0.39370078740157483"/>
  <pageSetup paperSize="9" scale="55" fitToHeight="15" orientation="portrait" r:id="rId1"/>
  <headerFooter alignWithMargins="0">
    <oddFooter>&amp;C&amp;P</oddFooter>
  </headerFooter>
  <rowBreaks count="6" manualBreakCount="6">
    <brk id="96" min="1" max="9" man="1"/>
    <brk id="183" min="1" max="9" man="1"/>
    <brk id="270" min="1" max="9" man="1"/>
    <brk id="354" min="1" max="9" man="1"/>
    <brk id="435" min="1" max="9" man="1"/>
    <brk id="536" min="1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91"/>
  <sheetViews>
    <sheetView showGridLines="0" showZeros="0" workbookViewId="0">
      <selection activeCell="V47" sqref="V47"/>
    </sheetView>
  </sheetViews>
  <sheetFormatPr defaultRowHeight="12.75"/>
  <cols>
    <col min="1" max="1" width="6.7109375" style="224" customWidth="1"/>
    <col min="2" max="2" width="38" style="225" customWidth="1"/>
    <col min="3" max="3" width="8" style="227" customWidth="1"/>
    <col min="4" max="21" width="8.7109375" style="227" customWidth="1"/>
    <col min="22" max="22" width="15.5703125" style="227" customWidth="1"/>
    <col min="23" max="23" width="8.85546875" style="66" customWidth="1"/>
    <col min="24" max="24" width="18.42578125" style="66" customWidth="1"/>
    <col min="25" max="16384" width="9.140625" style="66"/>
  </cols>
  <sheetData>
    <row r="1" spans="1:24" ht="32.25" customHeight="1">
      <c r="C1" s="226"/>
    </row>
    <row r="2" spans="1:24" ht="15.75">
      <c r="C2" s="228"/>
    </row>
    <row r="3" spans="1:24" s="67" customFormat="1" ht="32.25" customHeight="1" thickBot="1">
      <c r="A3" s="69"/>
      <c r="B3" s="70"/>
      <c r="C3" s="229"/>
      <c r="D3" s="229"/>
      <c r="E3" s="69"/>
      <c r="F3" s="69"/>
      <c r="G3" s="230"/>
      <c r="H3" s="69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</row>
    <row r="4" spans="1:24" s="68" customFormat="1" ht="12" customHeight="1">
      <c r="A4" s="231" t="s">
        <v>0</v>
      </c>
      <c r="B4" s="232" t="s">
        <v>1</v>
      </c>
      <c r="C4" s="233"/>
      <c r="D4" s="234"/>
      <c r="E4" s="234"/>
      <c r="F4" s="234"/>
      <c r="G4" s="234"/>
      <c r="H4" s="234"/>
      <c r="I4" s="234"/>
      <c r="J4" s="394"/>
      <c r="K4" s="394"/>
      <c r="L4" s="235"/>
      <c r="M4" s="236"/>
      <c r="N4" s="236"/>
      <c r="O4" s="237"/>
      <c r="P4" s="394"/>
      <c r="Q4" s="395"/>
      <c r="R4" s="238"/>
      <c r="S4" s="239" t="s">
        <v>3</v>
      </c>
      <c r="T4" s="240"/>
      <c r="U4" s="241" t="s">
        <v>6</v>
      </c>
      <c r="V4" s="242">
        <v>540</v>
      </c>
    </row>
    <row r="5" spans="1:24" s="68" customFormat="1" ht="12" customHeight="1" thickBot="1">
      <c r="A5" s="243" t="s">
        <v>4</v>
      </c>
      <c r="B5" s="244" t="s">
        <v>5</v>
      </c>
      <c r="C5" s="245"/>
      <c r="D5" s="246"/>
      <c r="E5" s="246"/>
      <c r="F5" s="246"/>
      <c r="G5" s="246"/>
      <c r="H5" s="246"/>
      <c r="I5" s="246"/>
      <c r="J5" s="396"/>
      <c r="K5" s="397"/>
      <c r="L5" s="247"/>
      <c r="M5" s="248"/>
      <c r="N5" s="249"/>
      <c r="O5" s="250"/>
      <c r="P5" s="396"/>
      <c r="Q5" s="398"/>
      <c r="R5" s="251"/>
      <c r="S5" s="252" t="s">
        <v>3</v>
      </c>
      <c r="T5" s="253"/>
      <c r="U5" s="254" t="s">
        <v>7</v>
      </c>
      <c r="V5" s="255">
        <v>42</v>
      </c>
    </row>
    <row r="6" spans="1:24" s="74" customFormat="1" ht="3" customHeight="1">
      <c r="A6" s="69"/>
      <c r="B6" s="70"/>
      <c r="C6" s="71"/>
      <c r="D6" s="72"/>
      <c r="E6" s="73"/>
      <c r="F6" s="73"/>
      <c r="G6" s="73"/>
      <c r="H6" s="73"/>
      <c r="I6" s="73"/>
      <c r="J6" s="73"/>
      <c r="K6" s="73"/>
      <c r="L6" s="73"/>
      <c r="M6" s="73"/>
      <c r="N6" s="72"/>
      <c r="O6" s="73"/>
      <c r="P6" s="73"/>
      <c r="Q6" s="73"/>
      <c r="R6" s="73"/>
      <c r="S6" s="73"/>
      <c r="T6" s="72"/>
      <c r="U6" s="73"/>
      <c r="V6" s="72"/>
    </row>
    <row r="7" spans="1:24" s="75" customFormat="1" ht="15" customHeight="1">
      <c r="A7" s="256"/>
      <c r="B7" s="257"/>
      <c r="C7" s="258"/>
      <c r="D7" s="258"/>
      <c r="E7" s="258"/>
      <c r="F7" s="258"/>
      <c r="G7" s="258"/>
      <c r="H7" s="259"/>
      <c r="I7" s="258"/>
      <c r="J7" s="260" t="s">
        <v>607</v>
      </c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61"/>
    </row>
    <row r="8" spans="1:24" s="76" customFormat="1" ht="3" customHeight="1" thickBot="1">
      <c r="A8" s="262"/>
      <c r="B8" s="263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</row>
    <row r="9" spans="1:24" s="76" customFormat="1" ht="12.95" customHeight="1" thickBot="1">
      <c r="A9" s="265" t="s">
        <v>608</v>
      </c>
      <c r="B9" s="266" t="s">
        <v>609</v>
      </c>
      <c r="C9" s="267" t="s">
        <v>610</v>
      </c>
      <c r="D9" s="267" t="s">
        <v>611</v>
      </c>
      <c r="E9" s="267" t="s">
        <v>612</v>
      </c>
      <c r="F9" s="267" t="s">
        <v>613</v>
      </c>
      <c r="G9" s="267" t="s">
        <v>614</v>
      </c>
      <c r="H9" s="267" t="s">
        <v>615</v>
      </c>
      <c r="I9" s="267" t="s">
        <v>616</v>
      </c>
      <c r="J9" s="267" t="s">
        <v>617</v>
      </c>
      <c r="K9" s="267" t="s">
        <v>618</v>
      </c>
      <c r="L9" s="267" t="s">
        <v>619</v>
      </c>
      <c r="M9" s="267" t="s">
        <v>620</v>
      </c>
      <c r="N9" s="267" t="s">
        <v>621</v>
      </c>
      <c r="O9" s="267" t="s">
        <v>622</v>
      </c>
      <c r="P9" s="267" t="s">
        <v>623</v>
      </c>
      <c r="Q9" s="267" t="s">
        <v>624</v>
      </c>
      <c r="R9" s="267" t="s">
        <v>625</v>
      </c>
      <c r="S9" s="267" t="s">
        <v>626</v>
      </c>
      <c r="T9" s="267" t="s">
        <v>627</v>
      </c>
      <c r="U9" s="267" t="s">
        <v>628</v>
      </c>
      <c r="V9" s="267" t="s">
        <v>629</v>
      </c>
    </row>
    <row r="10" spans="1:24" s="76" customFormat="1" ht="12" customHeight="1">
      <c r="A10" s="268">
        <v>1</v>
      </c>
      <c r="B10" s="269" t="s">
        <v>637</v>
      </c>
      <c r="C10" s="270">
        <f>V10/$V$42</f>
        <v>0</v>
      </c>
      <c r="D10" s="271">
        <f>D11*$V$10</f>
        <v>0</v>
      </c>
      <c r="E10" s="271">
        <f t="shared" ref="E10:U10" si="0">E11*$V$10</f>
        <v>0</v>
      </c>
      <c r="F10" s="271">
        <f t="shared" si="0"/>
        <v>0</v>
      </c>
      <c r="G10" s="271">
        <f t="shared" si="0"/>
        <v>0</v>
      </c>
      <c r="H10" s="271">
        <f t="shared" si="0"/>
        <v>0</v>
      </c>
      <c r="I10" s="271">
        <f t="shared" si="0"/>
        <v>0</v>
      </c>
      <c r="J10" s="271">
        <f t="shared" si="0"/>
        <v>0</v>
      </c>
      <c r="K10" s="271">
        <f t="shared" si="0"/>
        <v>0</v>
      </c>
      <c r="L10" s="271">
        <f t="shared" si="0"/>
        <v>0</v>
      </c>
      <c r="M10" s="271">
        <f t="shared" si="0"/>
        <v>0</v>
      </c>
      <c r="N10" s="271">
        <f t="shared" si="0"/>
        <v>0</v>
      </c>
      <c r="O10" s="271">
        <f t="shared" si="0"/>
        <v>0</v>
      </c>
      <c r="P10" s="271">
        <f t="shared" si="0"/>
        <v>0</v>
      </c>
      <c r="Q10" s="271">
        <f t="shared" si="0"/>
        <v>0</v>
      </c>
      <c r="R10" s="271">
        <f t="shared" si="0"/>
        <v>0</v>
      </c>
      <c r="S10" s="271">
        <f t="shared" si="0"/>
        <v>0</v>
      </c>
      <c r="T10" s="271">
        <f t="shared" si="0"/>
        <v>0</v>
      </c>
      <c r="U10" s="271">
        <f t="shared" si="0"/>
        <v>0</v>
      </c>
      <c r="V10" s="272"/>
      <c r="X10" s="77"/>
    </row>
    <row r="11" spans="1:24" s="78" customFormat="1" ht="12" customHeight="1">
      <c r="A11" s="79"/>
      <c r="B11" s="273" t="str">
        <f>B10</f>
        <v>SERVICOS PRELIMINARES</v>
      </c>
      <c r="C11" s="80"/>
      <c r="D11" s="274">
        <v>0.1</v>
      </c>
      <c r="E11" s="274">
        <v>0.1</v>
      </c>
      <c r="F11" s="274">
        <v>0.1</v>
      </c>
      <c r="G11" s="274">
        <v>0.1</v>
      </c>
      <c r="H11" s="274">
        <v>0.1</v>
      </c>
      <c r="I11" s="274">
        <v>0.1</v>
      </c>
      <c r="J11" s="274">
        <v>0.1</v>
      </c>
      <c r="K11" s="274">
        <v>0.1</v>
      </c>
      <c r="L11" s="274">
        <v>0.1</v>
      </c>
      <c r="M11" s="274">
        <v>0.1</v>
      </c>
      <c r="N11" s="274"/>
      <c r="O11" s="274"/>
      <c r="P11" s="274"/>
      <c r="Q11" s="274"/>
      <c r="R11" s="274"/>
      <c r="S11" s="274"/>
      <c r="T11" s="274"/>
      <c r="U11" s="274"/>
      <c r="V11" s="275">
        <f>SUM(D11:U11)</f>
        <v>0.99999999999999989</v>
      </c>
    </row>
    <row r="12" spans="1:24" s="76" customFormat="1" ht="12" customHeight="1">
      <c r="A12" s="268">
        <v>2</v>
      </c>
      <c r="B12" s="269" t="s">
        <v>638</v>
      </c>
      <c r="C12" s="270">
        <f>V12/$V$42</f>
        <v>0</v>
      </c>
      <c r="D12" s="271">
        <f t="shared" ref="D12:I12" si="1">D13:U13*$V$12</f>
        <v>0</v>
      </c>
      <c r="E12" s="271">
        <f t="shared" si="1"/>
        <v>0</v>
      </c>
      <c r="F12" s="271">
        <f t="shared" si="1"/>
        <v>0</v>
      </c>
      <c r="G12" s="271">
        <f t="shared" si="1"/>
        <v>0</v>
      </c>
      <c r="H12" s="271">
        <f t="shared" si="1"/>
        <v>0</v>
      </c>
      <c r="I12" s="271">
        <f t="shared" si="1"/>
        <v>0</v>
      </c>
      <c r="J12" s="271">
        <f t="shared" ref="J12:U12" si="2">J13:U13*$V$12</f>
        <v>0</v>
      </c>
      <c r="K12" s="271">
        <f t="shared" si="2"/>
        <v>0</v>
      </c>
      <c r="L12" s="271">
        <f t="shared" si="2"/>
        <v>0</v>
      </c>
      <c r="M12" s="271">
        <f t="shared" si="2"/>
        <v>0</v>
      </c>
      <c r="N12" s="271">
        <f t="shared" si="2"/>
        <v>0</v>
      </c>
      <c r="O12" s="271">
        <f t="shared" si="2"/>
        <v>0</v>
      </c>
      <c r="P12" s="271">
        <f t="shared" si="2"/>
        <v>0</v>
      </c>
      <c r="Q12" s="271">
        <f t="shared" si="2"/>
        <v>0</v>
      </c>
      <c r="R12" s="271">
        <f t="shared" si="2"/>
        <v>0</v>
      </c>
      <c r="S12" s="271">
        <f t="shared" si="2"/>
        <v>0</v>
      </c>
      <c r="T12" s="271">
        <f t="shared" si="2"/>
        <v>0</v>
      </c>
      <c r="U12" s="271">
        <f t="shared" si="2"/>
        <v>0</v>
      </c>
      <c r="V12" s="272"/>
      <c r="X12" s="77"/>
    </row>
    <row r="13" spans="1:24" s="78" customFormat="1" ht="12" customHeight="1">
      <c r="A13" s="79"/>
      <c r="B13" s="273" t="str">
        <f>B12</f>
        <v>INFRA ESTRUTURA</v>
      </c>
      <c r="C13" s="80"/>
      <c r="D13" s="274">
        <v>0.05</v>
      </c>
      <c r="E13" s="274">
        <v>7.0000000000000007E-2</v>
      </c>
      <c r="F13" s="274">
        <v>0.13</v>
      </c>
      <c r="G13" s="274">
        <v>0.15</v>
      </c>
      <c r="H13" s="274">
        <v>0.15</v>
      </c>
      <c r="I13" s="274">
        <v>0.15</v>
      </c>
      <c r="J13" s="274">
        <v>0.15</v>
      </c>
      <c r="K13" s="274">
        <v>0.15</v>
      </c>
      <c r="L13" s="274"/>
      <c r="M13" s="274">
        <v>0</v>
      </c>
      <c r="N13" s="274">
        <v>0</v>
      </c>
      <c r="O13" s="274">
        <v>0</v>
      </c>
      <c r="P13" s="274"/>
      <c r="Q13" s="274"/>
      <c r="R13" s="274"/>
      <c r="S13" s="274">
        <v>0</v>
      </c>
      <c r="T13" s="274">
        <v>0</v>
      </c>
      <c r="U13" s="274">
        <v>0</v>
      </c>
      <c r="V13" s="275">
        <f>SUM(D13:U13)</f>
        <v>1</v>
      </c>
    </row>
    <row r="14" spans="1:24" s="76" customFormat="1" ht="12" customHeight="1">
      <c r="A14" s="268">
        <v>3</v>
      </c>
      <c r="B14" s="269" t="s">
        <v>639</v>
      </c>
      <c r="C14" s="270">
        <f>V14/$V$42</f>
        <v>0</v>
      </c>
      <c r="D14" s="271">
        <f>D15*$V$14</f>
        <v>0</v>
      </c>
      <c r="E14" s="271">
        <f t="shared" ref="E14:U14" si="3">E15*$V$14</f>
        <v>0</v>
      </c>
      <c r="F14" s="271">
        <f t="shared" si="3"/>
        <v>0</v>
      </c>
      <c r="G14" s="271">
        <f t="shared" si="3"/>
        <v>0</v>
      </c>
      <c r="H14" s="271">
        <f t="shared" si="3"/>
        <v>0</v>
      </c>
      <c r="I14" s="271">
        <f t="shared" si="3"/>
        <v>0</v>
      </c>
      <c r="J14" s="271">
        <f t="shared" si="3"/>
        <v>0</v>
      </c>
      <c r="K14" s="271">
        <f t="shared" si="3"/>
        <v>0</v>
      </c>
      <c r="L14" s="271">
        <f t="shared" si="3"/>
        <v>0</v>
      </c>
      <c r="M14" s="271">
        <f t="shared" si="3"/>
        <v>0</v>
      </c>
      <c r="N14" s="271">
        <f t="shared" si="3"/>
        <v>0</v>
      </c>
      <c r="O14" s="271">
        <f t="shared" si="3"/>
        <v>0</v>
      </c>
      <c r="P14" s="271">
        <f t="shared" si="3"/>
        <v>0</v>
      </c>
      <c r="Q14" s="271">
        <f t="shared" si="3"/>
        <v>0</v>
      </c>
      <c r="R14" s="271">
        <f t="shared" si="3"/>
        <v>0</v>
      </c>
      <c r="S14" s="271">
        <f t="shared" si="3"/>
        <v>0</v>
      </c>
      <c r="T14" s="271">
        <f t="shared" si="3"/>
        <v>0</v>
      </c>
      <c r="U14" s="271">
        <f t="shared" si="3"/>
        <v>0</v>
      </c>
      <c r="V14" s="272"/>
      <c r="X14" s="77"/>
    </row>
    <row r="15" spans="1:24" s="78" customFormat="1" ht="12" customHeight="1">
      <c r="A15" s="79"/>
      <c r="B15" s="273" t="str">
        <f>B14</f>
        <v>SUPER ESTRUTURA</v>
      </c>
      <c r="C15" s="80"/>
      <c r="D15" s="274">
        <v>0</v>
      </c>
      <c r="E15" s="274">
        <v>0.05</v>
      </c>
      <c r="F15" s="274">
        <v>0.05</v>
      </c>
      <c r="G15" s="274">
        <v>0.05</v>
      </c>
      <c r="H15" s="274">
        <v>0.1</v>
      </c>
      <c r="I15" s="274">
        <v>0.15</v>
      </c>
      <c r="J15" s="274">
        <v>0.2</v>
      </c>
      <c r="K15" s="274">
        <v>0.2</v>
      </c>
      <c r="L15" s="274">
        <v>0.2</v>
      </c>
      <c r="M15" s="274">
        <v>0</v>
      </c>
      <c r="N15" s="274"/>
      <c r="O15" s="274">
        <v>0</v>
      </c>
      <c r="P15" s="274"/>
      <c r="Q15" s="274"/>
      <c r="R15" s="274"/>
      <c r="S15" s="274">
        <v>0</v>
      </c>
      <c r="T15" s="274"/>
      <c r="U15" s="274">
        <v>0</v>
      </c>
      <c r="V15" s="275">
        <f>SUM(D15:U15)</f>
        <v>1</v>
      </c>
    </row>
    <row r="16" spans="1:24" s="76" customFormat="1" ht="12" customHeight="1">
      <c r="A16" s="268">
        <v>4</v>
      </c>
      <c r="B16" s="269" t="s">
        <v>640</v>
      </c>
      <c r="C16" s="270">
        <f>V16/$V$42</f>
        <v>0</v>
      </c>
      <c r="D16" s="271">
        <f>D17*$V$16</f>
        <v>0</v>
      </c>
      <c r="E16" s="271">
        <f t="shared" ref="E16:U16" si="4">E17*$V$16</f>
        <v>0</v>
      </c>
      <c r="F16" s="271">
        <f t="shared" si="4"/>
        <v>0</v>
      </c>
      <c r="G16" s="271">
        <f t="shared" si="4"/>
        <v>0</v>
      </c>
      <c r="H16" s="271">
        <f t="shared" si="4"/>
        <v>0</v>
      </c>
      <c r="I16" s="271">
        <f t="shared" si="4"/>
        <v>0</v>
      </c>
      <c r="J16" s="271">
        <f t="shared" si="4"/>
        <v>0</v>
      </c>
      <c r="K16" s="271">
        <f t="shared" si="4"/>
        <v>0</v>
      </c>
      <c r="L16" s="271">
        <f t="shared" si="4"/>
        <v>0</v>
      </c>
      <c r="M16" s="271">
        <f t="shared" si="4"/>
        <v>0</v>
      </c>
      <c r="N16" s="271">
        <f t="shared" si="4"/>
        <v>0</v>
      </c>
      <c r="O16" s="271">
        <f t="shared" si="4"/>
        <v>0</v>
      </c>
      <c r="P16" s="271">
        <f t="shared" si="4"/>
        <v>0</v>
      </c>
      <c r="Q16" s="271">
        <f t="shared" si="4"/>
        <v>0</v>
      </c>
      <c r="R16" s="271">
        <f t="shared" si="4"/>
        <v>0</v>
      </c>
      <c r="S16" s="271">
        <f t="shared" si="4"/>
        <v>0</v>
      </c>
      <c r="T16" s="271">
        <f t="shared" si="4"/>
        <v>0</v>
      </c>
      <c r="U16" s="271">
        <f t="shared" si="4"/>
        <v>0</v>
      </c>
      <c r="V16" s="272"/>
      <c r="X16" s="77"/>
    </row>
    <row r="17" spans="1:24" s="78" customFormat="1" ht="12" customHeight="1">
      <c r="A17" s="79"/>
      <c r="B17" s="273" t="str">
        <f>B16</f>
        <v>ALVENARIA E OUTROS ELEMENTOS DIVISORIOS</v>
      </c>
      <c r="C17" s="80"/>
      <c r="D17" s="274">
        <v>0</v>
      </c>
      <c r="E17" s="274">
        <v>0.05</v>
      </c>
      <c r="F17" s="274">
        <v>0.05</v>
      </c>
      <c r="G17" s="274">
        <v>0.1</v>
      </c>
      <c r="H17" s="274">
        <v>0.15</v>
      </c>
      <c r="I17" s="274">
        <v>0.2</v>
      </c>
      <c r="J17" s="274">
        <v>0.15</v>
      </c>
      <c r="K17" s="274">
        <v>0.15</v>
      </c>
      <c r="L17" s="274">
        <v>0.15</v>
      </c>
      <c r="M17" s="274"/>
      <c r="N17" s="274"/>
      <c r="O17" s="274">
        <v>0</v>
      </c>
      <c r="P17" s="274"/>
      <c r="Q17" s="274"/>
      <c r="R17" s="274"/>
      <c r="S17" s="274"/>
      <c r="T17" s="274"/>
      <c r="U17" s="274">
        <v>0</v>
      </c>
      <c r="V17" s="275">
        <f>SUM(D17:U17)</f>
        <v>1</v>
      </c>
    </row>
    <row r="18" spans="1:24" s="76" customFormat="1" ht="12" customHeight="1">
      <c r="A18" s="268">
        <v>5</v>
      </c>
      <c r="B18" s="276" t="s">
        <v>674</v>
      </c>
      <c r="C18" s="270">
        <f>V18/$V$42</f>
        <v>0</v>
      </c>
      <c r="D18" s="271">
        <f>D19*$V$18</f>
        <v>0</v>
      </c>
      <c r="E18" s="271">
        <f t="shared" ref="E18:U18" si="5">E19*$V$18</f>
        <v>0</v>
      </c>
      <c r="F18" s="271">
        <f t="shared" si="5"/>
        <v>0</v>
      </c>
      <c r="G18" s="271">
        <f t="shared" si="5"/>
        <v>0</v>
      </c>
      <c r="H18" s="271">
        <f t="shared" si="5"/>
        <v>0</v>
      </c>
      <c r="I18" s="271">
        <f t="shared" si="5"/>
        <v>0</v>
      </c>
      <c r="J18" s="271">
        <f t="shared" si="5"/>
        <v>0</v>
      </c>
      <c r="K18" s="271">
        <f t="shared" si="5"/>
        <v>0</v>
      </c>
      <c r="L18" s="271">
        <f t="shared" si="5"/>
        <v>0</v>
      </c>
      <c r="M18" s="271">
        <f t="shared" si="5"/>
        <v>0</v>
      </c>
      <c r="N18" s="271">
        <f t="shared" si="5"/>
        <v>0</v>
      </c>
      <c r="O18" s="271">
        <f t="shared" si="5"/>
        <v>0</v>
      </c>
      <c r="P18" s="271">
        <f t="shared" si="5"/>
        <v>0</v>
      </c>
      <c r="Q18" s="271">
        <f t="shared" si="5"/>
        <v>0</v>
      </c>
      <c r="R18" s="271">
        <f t="shared" si="5"/>
        <v>0</v>
      </c>
      <c r="S18" s="271">
        <f t="shared" si="5"/>
        <v>0</v>
      </c>
      <c r="T18" s="271">
        <f t="shared" si="5"/>
        <v>0</v>
      </c>
      <c r="U18" s="271">
        <f t="shared" si="5"/>
        <v>0</v>
      </c>
      <c r="V18" s="272"/>
      <c r="X18" s="77"/>
    </row>
    <row r="19" spans="1:24" s="78" customFormat="1" ht="12" customHeight="1">
      <c r="A19" s="79"/>
      <c r="B19" s="273" t="str">
        <f>B18</f>
        <v>Estrutura pré-fabricada de concreto</v>
      </c>
      <c r="C19" s="80"/>
      <c r="D19" s="274">
        <v>0.08</v>
      </c>
      <c r="E19" s="274">
        <v>0.08</v>
      </c>
      <c r="F19" s="274">
        <v>0.12</v>
      </c>
      <c r="G19" s="274">
        <v>0.12</v>
      </c>
      <c r="H19" s="274">
        <v>0.12</v>
      </c>
      <c r="I19" s="274">
        <v>0.12</v>
      </c>
      <c r="J19" s="274">
        <v>0.12</v>
      </c>
      <c r="K19" s="274">
        <v>0.12</v>
      </c>
      <c r="L19" s="274">
        <v>0.12</v>
      </c>
      <c r="M19" s="274">
        <v>0</v>
      </c>
      <c r="N19" s="274"/>
      <c r="O19" s="274"/>
      <c r="P19" s="274"/>
      <c r="Q19" s="274"/>
      <c r="R19" s="274"/>
      <c r="S19" s="274">
        <v>0</v>
      </c>
      <c r="T19" s="274"/>
      <c r="U19" s="274"/>
      <c r="V19" s="275">
        <f>SUM(D19:U19)</f>
        <v>1</v>
      </c>
    </row>
    <row r="20" spans="1:24" s="76" customFormat="1" ht="12" customHeight="1">
      <c r="A20" s="268">
        <v>6</v>
      </c>
      <c r="B20" s="269" t="s">
        <v>648</v>
      </c>
      <c r="C20" s="270">
        <f>V20/$V$42</f>
        <v>0</v>
      </c>
      <c r="D20" s="271">
        <f>D21*$V$20</f>
        <v>0</v>
      </c>
      <c r="E20" s="271">
        <f t="shared" ref="E20:U20" si="6">E21*$V$20</f>
        <v>0</v>
      </c>
      <c r="F20" s="271">
        <f t="shared" si="6"/>
        <v>0</v>
      </c>
      <c r="G20" s="271">
        <f t="shared" si="6"/>
        <v>0</v>
      </c>
      <c r="H20" s="271">
        <f t="shared" si="6"/>
        <v>0</v>
      </c>
      <c r="I20" s="271">
        <f t="shared" si="6"/>
        <v>0</v>
      </c>
      <c r="J20" s="271">
        <f t="shared" si="6"/>
        <v>0</v>
      </c>
      <c r="K20" s="271">
        <f t="shared" si="6"/>
        <v>0</v>
      </c>
      <c r="L20" s="271">
        <f t="shared" si="6"/>
        <v>0</v>
      </c>
      <c r="M20" s="271">
        <f t="shared" si="6"/>
        <v>0</v>
      </c>
      <c r="N20" s="271">
        <f t="shared" si="6"/>
        <v>0</v>
      </c>
      <c r="O20" s="271">
        <f t="shared" si="6"/>
        <v>0</v>
      </c>
      <c r="P20" s="271">
        <f t="shared" si="6"/>
        <v>0</v>
      </c>
      <c r="Q20" s="271">
        <f t="shared" si="6"/>
        <v>0</v>
      </c>
      <c r="R20" s="271">
        <f t="shared" si="6"/>
        <v>0</v>
      </c>
      <c r="S20" s="271">
        <f t="shared" si="6"/>
        <v>0</v>
      </c>
      <c r="T20" s="271">
        <f t="shared" si="6"/>
        <v>0</v>
      </c>
      <c r="U20" s="271">
        <f t="shared" si="6"/>
        <v>0</v>
      </c>
      <c r="V20" s="272"/>
      <c r="X20" s="77"/>
    </row>
    <row r="21" spans="1:24" s="78" customFormat="1" ht="12" customHeight="1">
      <c r="A21" s="79"/>
      <c r="B21" s="273" t="str">
        <f>B20</f>
        <v>ELEMENTOS METALICOS/COMPONENTES ESPECIAIS</v>
      </c>
      <c r="C21" s="80"/>
      <c r="D21" s="274">
        <v>0</v>
      </c>
      <c r="E21" s="274"/>
      <c r="F21" s="274"/>
      <c r="G21" s="274"/>
      <c r="H21" s="274"/>
      <c r="I21" s="274"/>
      <c r="J21" s="274"/>
      <c r="K21" s="274">
        <v>0.3</v>
      </c>
      <c r="L21" s="274">
        <v>0.25</v>
      </c>
      <c r="M21" s="274">
        <v>0.25</v>
      </c>
      <c r="N21" s="274">
        <v>0.2</v>
      </c>
      <c r="O21" s="274">
        <v>0</v>
      </c>
      <c r="P21" s="274"/>
      <c r="Q21" s="274"/>
      <c r="R21" s="274"/>
      <c r="S21" s="274"/>
      <c r="T21" s="274"/>
      <c r="U21" s="274">
        <v>0</v>
      </c>
      <c r="V21" s="275">
        <f>SUM(D21:U21)</f>
        <v>1</v>
      </c>
    </row>
    <row r="22" spans="1:24" s="76" customFormat="1" ht="12" customHeight="1">
      <c r="A22" s="268">
        <v>7</v>
      </c>
      <c r="B22" s="269" t="s">
        <v>649</v>
      </c>
      <c r="C22" s="270">
        <f>V22/$V$42</f>
        <v>0</v>
      </c>
      <c r="D22" s="271">
        <f>D23*$V$22</f>
        <v>0</v>
      </c>
      <c r="E22" s="271">
        <f t="shared" ref="E22:U22" si="7">E23*$V$22</f>
        <v>0</v>
      </c>
      <c r="F22" s="271">
        <f t="shared" si="7"/>
        <v>0</v>
      </c>
      <c r="G22" s="271">
        <f t="shared" si="7"/>
        <v>0</v>
      </c>
      <c r="H22" s="271">
        <f t="shared" si="7"/>
        <v>0</v>
      </c>
      <c r="I22" s="271">
        <f t="shared" si="7"/>
        <v>0</v>
      </c>
      <c r="J22" s="271">
        <f t="shared" si="7"/>
        <v>0</v>
      </c>
      <c r="K22" s="271">
        <f t="shared" si="7"/>
        <v>0</v>
      </c>
      <c r="L22" s="271">
        <f t="shared" si="7"/>
        <v>0</v>
      </c>
      <c r="M22" s="271">
        <f t="shared" si="7"/>
        <v>0</v>
      </c>
      <c r="N22" s="271">
        <f t="shared" si="7"/>
        <v>0</v>
      </c>
      <c r="O22" s="271">
        <f t="shared" si="7"/>
        <v>0</v>
      </c>
      <c r="P22" s="271">
        <f t="shared" si="7"/>
        <v>0</v>
      </c>
      <c r="Q22" s="271">
        <f t="shared" si="7"/>
        <v>0</v>
      </c>
      <c r="R22" s="271">
        <f t="shared" si="7"/>
        <v>0</v>
      </c>
      <c r="S22" s="271">
        <f t="shared" si="7"/>
        <v>0</v>
      </c>
      <c r="T22" s="271">
        <f t="shared" si="7"/>
        <v>0</v>
      </c>
      <c r="U22" s="271">
        <f t="shared" si="7"/>
        <v>0</v>
      </c>
      <c r="V22" s="272"/>
      <c r="X22" s="77"/>
    </row>
    <row r="23" spans="1:24" s="78" customFormat="1" ht="12" customHeight="1">
      <c r="A23" s="79"/>
      <c r="B23" s="273" t="str">
        <f>B22</f>
        <v>COBERTURA</v>
      </c>
      <c r="C23" s="80"/>
      <c r="D23" s="274">
        <v>0</v>
      </c>
      <c r="E23" s="274">
        <v>0</v>
      </c>
      <c r="F23" s="274">
        <v>0</v>
      </c>
      <c r="G23" s="274">
        <v>0</v>
      </c>
      <c r="H23" s="274">
        <v>0.4</v>
      </c>
      <c r="I23" s="274">
        <v>0.3</v>
      </c>
      <c r="J23" s="274">
        <v>0.2</v>
      </c>
      <c r="K23" s="274">
        <v>0.1</v>
      </c>
      <c r="L23" s="274">
        <v>0</v>
      </c>
      <c r="M23" s="274"/>
      <c r="N23" s="274"/>
      <c r="O23" s="274"/>
      <c r="P23" s="274"/>
      <c r="Q23" s="274"/>
      <c r="R23" s="274">
        <v>0</v>
      </c>
      <c r="S23" s="274"/>
      <c r="T23" s="274"/>
      <c r="U23" s="274"/>
      <c r="V23" s="275">
        <f>SUM(D23:U23)</f>
        <v>0.99999999999999989</v>
      </c>
    </row>
    <row r="24" spans="1:24" s="76" customFormat="1" ht="12" customHeight="1">
      <c r="A24" s="268">
        <v>8</v>
      </c>
      <c r="B24" s="269" t="s">
        <v>650</v>
      </c>
      <c r="C24" s="270">
        <f>V24/$V$42</f>
        <v>0</v>
      </c>
      <c r="D24" s="271">
        <f>D25*$V$24</f>
        <v>0</v>
      </c>
      <c r="E24" s="271">
        <f t="shared" ref="E24:U24" si="8">E25*$V$24</f>
        <v>0</v>
      </c>
      <c r="F24" s="271">
        <f t="shared" si="8"/>
        <v>0</v>
      </c>
      <c r="G24" s="271">
        <f t="shared" si="8"/>
        <v>0</v>
      </c>
      <c r="H24" s="271">
        <f t="shared" si="8"/>
        <v>0</v>
      </c>
      <c r="I24" s="271">
        <f t="shared" si="8"/>
        <v>0</v>
      </c>
      <c r="J24" s="271">
        <f t="shared" si="8"/>
        <v>0</v>
      </c>
      <c r="K24" s="271">
        <f t="shared" si="8"/>
        <v>0</v>
      </c>
      <c r="L24" s="271">
        <f t="shared" si="8"/>
        <v>0</v>
      </c>
      <c r="M24" s="271">
        <f t="shared" si="8"/>
        <v>0</v>
      </c>
      <c r="N24" s="271">
        <f t="shared" si="8"/>
        <v>0</v>
      </c>
      <c r="O24" s="271">
        <f t="shared" si="8"/>
        <v>0</v>
      </c>
      <c r="P24" s="271">
        <f t="shared" si="8"/>
        <v>0</v>
      </c>
      <c r="Q24" s="271">
        <f t="shared" si="8"/>
        <v>0</v>
      </c>
      <c r="R24" s="271">
        <f t="shared" si="8"/>
        <v>0</v>
      </c>
      <c r="S24" s="271">
        <f t="shared" si="8"/>
        <v>0</v>
      </c>
      <c r="T24" s="271">
        <f t="shared" si="8"/>
        <v>0</v>
      </c>
      <c r="U24" s="271">
        <f t="shared" si="8"/>
        <v>0</v>
      </c>
      <c r="V24" s="272"/>
      <c r="X24" s="77"/>
    </row>
    <row r="25" spans="1:24" s="78" customFormat="1" ht="12" customHeight="1">
      <c r="A25" s="79"/>
      <c r="B25" s="273" t="str">
        <f>B24</f>
        <v>INSTALACOES HIDRAULICAS</v>
      </c>
      <c r="C25" s="80"/>
      <c r="D25" s="274">
        <v>0.05</v>
      </c>
      <c r="E25" s="274">
        <v>0.05</v>
      </c>
      <c r="F25" s="274">
        <v>0.05</v>
      </c>
      <c r="G25" s="274">
        <v>0.05</v>
      </c>
      <c r="H25" s="274">
        <v>0.05</v>
      </c>
      <c r="I25" s="274">
        <v>0.05</v>
      </c>
      <c r="J25" s="274">
        <v>0.25</v>
      </c>
      <c r="K25" s="274">
        <v>0.2</v>
      </c>
      <c r="L25" s="274">
        <v>0.15</v>
      </c>
      <c r="M25" s="274">
        <v>0.05</v>
      </c>
      <c r="N25" s="274">
        <v>0.05</v>
      </c>
      <c r="O25" s="274"/>
      <c r="P25" s="274"/>
      <c r="Q25" s="274"/>
      <c r="R25" s="274"/>
      <c r="S25" s="274"/>
      <c r="T25" s="274"/>
      <c r="U25" s="274"/>
      <c r="V25" s="275">
        <f>SUM(D25:U25)</f>
        <v>1</v>
      </c>
    </row>
    <row r="26" spans="1:24" s="76" customFormat="1" ht="12" customHeight="1">
      <c r="A26" s="268">
        <v>9</v>
      </c>
      <c r="B26" s="269" t="s">
        <v>651</v>
      </c>
      <c r="C26" s="270">
        <f>V26/$V$42</f>
        <v>0</v>
      </c>
      <c r="D26" s="271">
        <f>D27*$V$26</f>
        <v>0</v>
      </c>
      <c r="E26" s="271">
        <f t="shared" ref="E26:U26" si="9">E27*$V$26</f>
        <v>0</v>
      </c>
      <c r="F26" s="271">
        <f t="shared" si="9"/>
        <v>0</v>
      </c>
      <c r="G26" s="271">
        <f t="shared" si="9"/>
        <v>0</v>
      </c>
      <c r="H26" s="271">
        <f t="shared" si="9"/>
        <v>0</v>
      </c>
      <c r="I26" s="271">
        <f t="shared" si="9"/>
        <v>0</v>
      </c>
      <c r="J26" s="271">
        <f t="shared" si="9"/>
        <v>0</v>
      </c>
      <c r="K26" s="271">
        <f t="shared" si="9"/>
        <v>0</v>
      </c>
      <c r="L26" s="271">
        <f t="shared" si="9"/>
        <v>0</v>
      </c>
      <c r="M26" s="271">
        <f t="shared" si="9"/>
        <v>0</v>
      </c>
      <c r="N26" s="271">
        <f t="shared" si="9"/>
        <v>0</v>
      </c>
      <c r="O26" s="271">
        <f t="shared" si="9"/>
        <v>0</v>
      </c>
      <c r="P26" s="271">
        <f t="shared" si="9"/>
        <v>0</v>
      </c>
      <c r="Q26" s="271">
        <f t="shared" si="9"/>
        <v>0</v>
      </c>
      <c r="R26" s="271">
        <f t="shared" si="9"/>
        <v>0</v>
      </c>
      <c r="S26" s="271">
        <f t="shared" si="9"/>
        <v>0</v>
      </c>
      <c r="T26" s="271">
        <f t="shared" si="9"/>
        <v>0</v>
      </c>
      <c r="U26" s="271">
        <f t="shared" si="9"/>
        <v>0</v>
      </c>
      <c r="V26" s="272"/>
      <c r="X26" s="77"/>
    </row>
    <row r="27" spans="1:24" s="78" customFormat="1" ht="12" customHeight="1">
      <c r="A27" s="79"/>
      <c r="B27" s="273" t="str">
        <f>B26</f>
        <v>INSTALACOES ELETRICAS</v>
      </c>
      <c r="C27" s="80"/>
      <c r="D27" s="274">
        <v>0</v>
      </c>
      <c r="E27" s="274"/>
      <c r="F27" s="274">
        <v>0.05</v>
      </c>
      <c r="G27" s="274">
        <v>0.05</v>
      </c>
      <c r="H27" s="274">
        <v>0.05</v>
      </c>
      <c r="I27" s="274">
        <v>0.05</v>
      </c>
      <c r="J27" s="274">
        <v>0.05</v>
      </c>
      <c r="K27" s="274">
        <v>0.05</v>
      </c>
      <c r="L27" s="274">
        <v>0.4</v>
      </c>
      <c r="M27" s="274">
        <v>0.2</v>
      </c>
      <c r="N27" s="274">
        <v>0.1</v>
      </c>
      <c r="O27" s="274"/>
      <c r="P27" s="274"/>
      <c r="Q27" s="274"/>
      <c r="R27" s="274"/>
      <c r="S27" s="274"/>
      <c r="T27" s="274"/>
      <c r="U27" s="274"/>
      <c r="V27" s="275">
        <f>SUM(D27:U27)</f>
        <v>0.99999999999999989</v>
      </c>
    </row>
    <row r="28" spans="1:24" s="76" customFormat="1" ht="12" customHeight="1">
      <c r="A28" s="268">
        <v>10</v>
      </c>
      <c r="B28" s="269" t="s">
        <v>647</v>
      </c>
      <c r="C28" s="270">
        <f>V28/$V$42</f>
        <v>0</v>
      </c>
      <c r="D28" s="271">
        <f>D29*$V$28</f>
        <v>0</v>
      </c>
      <c r="E28" s="271">
        <f t="shared" ref="E28:U28" si="10">E29*$V$28</f>
        <v>0</v>
      </c>
      <c r="F28" s="271">
        <f t="shared" si="10"/>
        <v>0</v>
      </c>
      <c r="G28" s="271">
        <f t="shared" si="10"/>
        <v>0</v>
      </c>
      <c r="H28" s="271">
        <f t="shared" si="10"/>
        <v>0</v>
      </c>
      <c r="I28" s="271">
        <f t="shared" si="10"/>
        <v>0</v>
      </c>
      <c r="J28" s="271">
        <f t="shared" si="10"/>
        <v>0</v>
      </c>
      <c r="K28" s="271">
        <f t="shared" si="10"/>
        <v>0</v>
      </c>
      <c r="L28" s="271">
        <f t="shared" si="10"/>
        <v>0</v>
      </c>
      <c r="M28" s="271">
        <f t="shared" si="10"/>
        <v>0</v>
      </c>
      <c r="N28" s="271">
        <f t="shared" si="10"/>
        <v>0</v>
      </c>
      <c r="O28" s="271">
        <f t="shared" si="10"/>
        <v>0</v>
      </c>
      <c r="P28" s="271">
        <f t="shared" si="10"/>
        <v>0</v>
      </c>
      <c r="Q28" s="271">
        <f t="shared" si="10"/>
        <v>0</v>
      </c>
      <c r="R28" s="271">
        <f t="shared" si="10"/>
        <v>0</v>
      </c>
      <c r="S28" s="271">
        <f t="shared" si="10"/>
        <v>0</v>
      </c>
      <c r="T28" s="271">
        <f t="shared" si="10"/>
        <v>0</v>
      </c>
      <c r="U28" s="271">
        <f t="shared" si="10"/>
        <v>0</v>
      </c>
      <c r="V28" s="272"/>
    </row>
    <row r="29" spans="1:24" s="78" customFormat="1" ht="12" customHeight="1">
      <c r="A29" s="79"/>
      <c r="B29" s="273" t="str">
        <f>B28</f>
        <v>IMPERMEABILIZACOES / JUNTAS DE DILATACAO</v>
      </c>
      <c r="C29" s="80"/>
      <c r="D29" s="274"/>
      <c r="E29" s="274">
        <v>0.2</v>
      </c>
      <c r="F29" s="274">
        <v>0.1</v>
      </c>
      <c r="G29" s="274">
        <v>0.1</v>
      </c>
      <c r="H29" s="274">
        <v>0.1</v>
      </c>
      <c r="I29" s="274">
        <v>0.1</v>
      </c>
      <c r="J29" s="274">
        <v>0.1</v>
      </c>
      <c r="K29" s="274">
        <v>0.15</v>
      </c>
      <c r="L29" s="274">
        <v>0.15</v>
      </c>
      <c r="M29" s="274">
        <v>0</v>
      </c>
      <c r="N29" s="274">
        <v>0</v>
      </c>
      <c r="O29" s="274">
        <v>0</v>
      </c>
      <c r="P29" s="274"/>
      <c r="Q29" s="274"/>
      <c r="R29" s="274"/>
      <c r="S29" s="274">
        <v>0</v>
      </c>
      <c r="T29" s="274">
        <v>0</v>
      </c>
      <c r="U29" s="274">
        <v>0</v>
      </c>
      <c r="V29" s="275">
        <f>SUM(D29:U29)</f>
        <v>1</v>
      </c>
    </row>
    <row r="30" spans="1:24" s="76" customFormat="1" ht="12" customHeight="1">
      <c r="A30" s="268">
        <v>11</v>
      </c>
      <c r="B30" s="269" t="s">
        <v>641</v>
      </c>
      <c r="C30" s="270">
        <f>V30/$V$42</f>
        <v>0</v>
      </c>
      <c r="D30" s="271">
        <f>D31*$V$30</f>
        <v>0</v>
      </c>
      <c r="E30" s="271">
        <f t="shared" ref="E30:U30" si="11">E31*$V$30</f>
        <v>0</v>
      </c>
      <c r="F30" s="271">
        <f t="shared" si="11"/>
        <v>0</v>
      </c>
      <c r="G30" s="271">
        <f t="shared" si="11"/>
        <v>0</v>
      </c>
      <c r="H30" s="271">
        <f t="shared" si="11"/>
        <v>0</v>
      </c>
      <c r="I30" s="271">
        <f t="shared" si="11"/>
        <v>0</v>
      </c>
      <c r="J30" s="271">
        <f t="shared" si="11"/>
        <v>0</v>
      </c>
      <c r="K30" s="271">
        <f t="shared" si="11"/>
        <v>0</v>
      </c>
      <c r="L30" s="271">
        <f t="shared" si="11"/>
        <v>0</v>
      </c>
      <c r="M30" s="271">
        <f t="shared" si="11"/>
        <v>0</v>
      </c>
      <c r="N30" s="271">
        <f t="shared" si="11"/>
        <v>0</v>
      </c>
      <c r="O30" s="271">
        <f t="shared" si="11"/>
        <v>0</v>
      </c>
      <c r="P30" s="271">
        <f t="shared" si="11"/>
        <v>0</v>
      </c>
      <c r="Q30" s="271">
        <f t="shared" si="11"/>
        <v>0</v>
      </c>
      <c r="R30" s="271">
        <f t="shared" si="11"/>
        <v>0</v>
      </c>
      <c r="S30" s="271">
        <f t="shared" si="11"/>
        <v>0</v>
      </c>
      <c r="T30" s="271">
        <f t="shared" si="11"/>
        <v>0</v>
      </c>
      <c r="U30" s="271">
        <f t="shared" si="11"/>
        <v>0</v>
      </c>
      <c r="V30" s="272"/>
    </row>
    <row r="31" spans="1:24" s="78" customFormat="1" ht="12" customHeight="1">
      <c r="A31" s="79"/>
      <c r="B31" s="273" t="str">
        <f>B30</f>
        <v>REVESTIMENTOS</v>
      </c>
      <c r="C31" s="80"/>
      <c r="D31" s="274">
        <v>0</v>
      </c>
      <c r="E31" s="274">
        <v>0</v>
      </c>
      <c r="F31" s="274">
        <v>0</v>
      </c>
      <c r="G31" s="274">
        <v>0</v>
      </c>
      <c r="H31" s="274">
        <v>0.05</v>
      </c>
      <c r="I31" s="274">
        <v>0.1</v>
      </c>
      <c r="J31" s="274">
        <v>0.1</v>
      </c>
      <c r="K31" s="274">
        <v>0.1</v>
      </c>
      <c r="L31" s="274">
        <v>0.15</v>
      </c>
      <c r="M31" s="274">
        <v>0.3</v>
      </c>
      <c r="N31" s="274">
        <v>0.2</v>
      </c>
      <c r="O31" s="274"/>
      <c r="P31" s="274"/>
      <c r="Q31" s="274"/>
      <c r="R31" s="274"/>
      <c r="S31" s="274"/>
      <c r="T31" s="274"/>
      <c r="U31" s="274"/>
      <c r="V31" s="275">
        <f>SUM(D31:U31)</f>
        <v>1</v>
      </c>
    </row>
    <row r="32" spans="1:24" s="76" customFormat="1" ht="12" customHeight="1">
      <c r="A32" s="268">
        <v>12</v>
      </c>
      <c r="B32" s="269" t="s">
        <v>642</v>
      </c>
      <c r="C32" s="270">
        <f>V32/$V$42</f>
        <v>0</v>
      </c>
      <c r="D32" s="271">
        <f>D33*$V$32</f>
        <v>0</v>
      </c>
      <c r="E32" s="271">
        <f t="shared" ref="E32:U32" si="12">E33*$V$32</f>
        <v>0</v>
      </c>
      <c r="F32" s="271">
        <f t="shared" si="12"/>
        <v>0</v>
      </c>
      <c r="G32" s="271">
        <f t="shared" si="12"/>
        <v>0</v>
      </c>
      <c r="H32" s="271">
        <f t="shared" si="12"/>
        <v>0</v>
      </c>
      <c r="I32" s="271">
        <f t="shared" si="12"/>
        <v>0</v>
      </c>
      <c r="J32" s="271">
        <f t="shared" si="12"/>
        <v>0</v>
      </c>
      <c r="K32" s="271">
        <f t="shared" si="12"/>
        <v>0</v>
      </c>
      <c r="L32" s="271">
        <f t="shared" si="12"/>
        <v>0</v>
      </c>
      <c r="M32" s="271">
        <f t="shared" si="12"/>
        <v>0</v>
      </c>
      <c r="N32" s="271">
        <f t="shared" si="12"/>
        <v>0</v>
      </c>
      <c r="O32" s="271">
        <f t="shared" si="12"/>
        <v>0</v>
      </c>
      <c r="P32" s="271">
        <f t="shared" si="12"/>
        <v>0</v>
      </c>
      <c r="Q32" s="271">
        <f t="shared" si="12"/>
        <v>0</v>
      </c>
      <c r="R32" s="271">
        <f t="shared" si="12"/>
        <v>0</v>
      </c>
      <c r="S32" s="271">
        <f t="shared" si="12"/>
        <v>0</v>
      </c>
      <c r="T32" s="271">
        <f t="shared" si="12"/>
        <v>0</v>
      </c>
      <c r="U32" s="271">
        <f t="shared" si="12"/>
        <v>0</v>
      </c>
      <c r="V32" s="272"/>
    </row>
    <row r="33" spans="1:24" s="78" customFormat="1" ht="12" customHeight="1">
      <c r="A33" s="79"/>
      <c r="B33" s="273" t="str">
        <f>B32</f>
        <v>PISOS INTERNOS / RODAPES / PEITORIS</v>
      </c>
      <c r="C33" s="80"/>
      <c r="D33" s="274">
        <v>0</v>
      </c>
      <c r="E33" s="274">
        <v>0</v>
      </c>
      <c r="F33" s="274">
        <v>0</v>
      </c>
      <c r="G33" s="274">
        <v>0</v>
      </c>
      <c r="H33" s="274">
        <v>0</v>
      </c>
      <c r="I33" s="274">
        <v>0</v>
      </c>
      <c r="J33" s="274">
        <v>0</v>
      </c>
      <c r="K33" s="274">
        <v>0</v>
      </c>
      <c r="L33" s="274">
        <v>0</v>
      </c>
      <c r="M33" s="274">
        <v>0.2</v>
      </c>
      <c r="N33" s="274">
        <v>0.5</v>
      </c>
      <c r="O33" s="274">
        <v>0.3</v>
      </c>
      <c r="P33" s="274">
        <v>0</v>
      </c>
      <c r="Q33" s="274">
        <v>0</v>
      </c>
      <c r="R33" s="274">
        <v>0</v>
      </c>
      <c r="S33" s="274"/>
      <c r="T33" s="274"/>
      <c r="U33" s="274"/>
      <c r="V33" s="275">
        <f>SUM(D33:U33)</f>
        <v>1</v>
      </c>
    </row>
    <row r="34" spans="1:24" s="76" customFormat="1" ht="12" customHeight="1">
      <c r="A34" s="268">
        <v>13</v>
      </c>
      <c r="B34" s="277" t="s">
        <v>652</v>
      </c>
      <c r="C34" s="270">
        <f>V34/$V$42</f>
        <v>0</v>
      </c>
      <c r="D34" s="271">
        <f>D35*$V$34</f>
        <v>0</v>
      </c>
      <c r="E34" s="271">
        <f t="shared" ref="E34:U34" si="13">E35*$V$34</f>
        <v>0</v>
      </c>
      <c r="F34" s="271">
        <f t="shared" si="13"/>
        <v>0</v>
      </c>
      <c r="G34" s="271">
        <f t="shared" si="13"/>
        <v>0</v>
      </c>
      <c r="H34" s="271">
        <f t="shared" si="13"/>
        <v>0</v>
      </c>
      <c r="I34" s="271">
        <f t="shared" si="13"/>
        <v>0</v>
      </c>
      <c r="J34" s="271">
        <f t="shared" si="13"/>
        <v>0</v>
      </c>
      <c r="K34" s="271">
        <f t="shared" si="13"/>
        <v>0</v>
      </c>
      <c r="L34" s="271">
        <f t="shared" si="13"/>
        <v>0</v>
      </c>
      <c r="M34" s="271">
        <f t="shared" si="13"/>
        <v>0</v>
      </c>
      <c r="N34" s="271">
        <f t="shared" si="13"/>
        <v>0</v>
      </c>
      <c r="O34" s="271">
        <f t="shared" si="13"/>
        <v>0</v>
      </c>
      <c r="P34" s="271">
        <f t="shared" si="13"/>
        <v>0</v>
      </c>
      <c r="Q34" s="271">
        <f t="shared" si="13"/>
        <v>0</v>
      </c>
      <c r="R34" s="271">
        <f t="shared" si="13"/>
        <v>0</v>
      </c>
      <c r="S34" s="271">
        <f t="shared" si="13"/>
        <v>0</v>
      </c>
      <c r="T34" s="271">
        <f t="shared" si="13"/>
        <v>0</v>
      </c>
      <c r="U34" s="271">
        <f t="shared" si="13"/>
        <v>0</v>
      </c>
      <c r="V34" s="272"/>
    </row>
    <row r="35" spans="1:24" s="78" customFormat="1" ht="12" customHeight="1">
      <c r="A35" s="79"/>
      <c r="B35" s="273" t="str">
        <f>B34</f>
        <v>VIDROS</v>
      </c>
      <c r="C35" s="80"/>
      <c r="D35" s="274">
        <v>0</v>
      </c>
      <c r="E35" s="274">
        <v>0</v>
      </c>
      <c r="F35" s="274">
        <v>0</v>
      </c>
      <c r="G35" s="274">
        <v>0</v>
      </c>
      <c r="H35" s="274">
        <v>0</v>
      </c>
      <c r="I35" s="274">
        <v>0</v>
      </c>
      <c r="J35" s="274">
        <v>0</v>
      </c>
      <c r="K35" s="274">
        <v>0</v>
      </c>
      <c r="L35" s="274">
        <v>0.4</v>
      </c>
      <c r="M35" s="274">
        <v>0.6</v>
      </c>
      <c r="N35" s="274"/>
      <c r="O35" s="274"/>
      <c r="P35" s="274">
        <v>0</v>
      </c>
      <c r="Q35" s="274">
        <v>0</v>
      </c>
      <c r="R35" s="274"/>
      <c r="S35" s="274"/>
      <c r="T35" s="274"/>
      <c r="U35" s="274"/>
      <c r="V35" s="275">
        <f>SUM(D35:U35)</f>
        <v>1</v>
      </c>
    </row>
    <row r="36" spans="1:24" s="76" customFormat="1" ht="12" customHeight="1">
      <c r="A36" s="268">
        <v>14</v>
      </c>
      <c r="B36" s="277" t="s">
        <v>653</v>
      </c>
      <c r="C36" s="270">
        <f>V36/$V$42</f>
        <v>0</v>
      </c>
      <c r="D36" s="271">
        <f>D37*$V$36</f>
        <v>0</v>
      </c>
      <c r="E36" s="271">
        <f t="shared" ref="E36:U36" si="14">E37*$V$36</f>
        <v>0</v>
      </c>
      <c r="F36" s="271">
        <f t="shared" si="14"/>
        <v>0</v>
      </c>
      <c r="G36" s="271">
        <f t="shared" si="14"/>
        <v>0</v>
      </c>
      <c r="H36" s="271">
        <f t="shared" si="14"/>
        <v>0</v>
      </c>
      <c r="I36" s="271">
        <f t="shared" si="14"/>
        <v>0</v>
      </c>
      <c r="J36" s="271">
        <f t="shared" si="14"/>
        <v>0</v>
      </c>
      <c r="K36" s="271">
        <f t="shared" si="14"/>
        <v>0</v>
      </c>
      <c r="L36" s="271">
        <f t="shared" si="14"/>
        <v>0</v>
      </c>
      <c r="M36" s="271">
        <f t="shared" si="14"/>
        <v>0</v>
      </c>
      <c r="N36" s="271">
        <f t="shared" si="14"/>
        <v>0</v>
      </c>
      <c r="O36" s="271">
        <f t="shared" si="14"/>
        <v>0</v>
      </c>
      <c r="P36" s="271">
        <f t="shared" si="14"/>
        <v>0</v>
      </c>
      <c r="Q36" s="271">
        <f t="shared" si="14"/>
        <v>0</v>
      </c>
      <c r="R36" s="271">
        <f t="shared" si="14"/>
        <v>0</v>
      </c>
      <c r="S36" s="271">
        <f t="shared" si="14"/>
        <v>0</v>
      </c>
      <c r="T36" s="271">
        <f t="shared" si="14"/>
        <v>0</v>
      </c>
      <c r="U36" s="271">
        <f t="shared" si="14"/>
        <v>0</v>
      </c>
      <c r="V36" s="272"/>
    </row>
    <row r="37" spans="1:24" s="78" customFormat="1" ht="12" customHeight="1">
      <c r="A37" s="79"/>
      <c r="B37" s="278" t="str">
        <f>B36</f>
        <v>PINTURA</v>
      </c>
      <c r="C37" s="80"/>
      <c r="D37" s="274">
        <v>0</v>
      </c>
      <c r="E37" s="274">
        <v>0</v>
      </c>
      <c r="F37" s="274">
        <v>0</v>
      </c>
      <c r="G37" s="274">
        <v>0</v>
      </c>
      <c r="H37" s="274">
        <v>0</v>
      </c>
      <c r="I37" s="274">
        <v>0</v>
      </c>
      <c r="J37" s="274">
        <v>0</v>
      </c>
      <c r="K37" s="274">
        <v>0</v>
      </c>
      <c r="L37" s="274">
        <v>0.05</v>
      </c>
      <c r="M37" s="274">
        <v>0.2</v>
      </c>
      <c r="N37" s="274">
        <v>0.4</v>
      </c>
      <c r="O37" s="274">
        <v>0.35</v>
      </c>
      <c r="P37" s="274">
        <v>0</v>
      </c>
      <c r="Q37" s="274">
        <v>0</v>
      </c>
      <c r="R37" s="274"/>
      <c r="S37" s="274"/>
      <c r="T37" s="274"/>
      <c r="U37" s="274"/>
      <c r="V37" s="275">
        <f>SUM(D37:U37)</f>
        <v>1</v>
      </c>
    </row>
    <row r="38" spans="1:24" s="76" customFormat="1" ht="12" customHeight="1">
      <c r="A38" s="268">
        <v>15</v>
      </c>
      <c r="B38" s="277" t="s">
        <v>645</v>
      </c>
      <c r="C38" s="270">
        <f>V38/$V$42</f>
        <v>0</v>
      </c>
      <c r="D38" s="271">
        <f>D39*$V$38</f>
        <v>0</v>
      </c>
      <c r="E38" s="271">
        <f t="shared" ref="E38:U38" si="15">E39*$V$38</f>
        <v>0</v>
      </c>
      <c r="F38" s="271">
        <f t="shared" si="15"/>
        <v>0</v>
      </c>
      <c r="G38" s="271">
        <f t="shared" si="15"/>
        <v>0</v>
      </c>
      <c r="H38" s="271">
        <f t="shared" si="15"/>
        <v>0</v>
      </c>
      <c r="I38" s="271">
        <f t="shared" si="15"/>
        <v>0</v>
      </c>
      <c r="J38" s="271">
        <f t="shared" si="15"/>
        <v>0</v>
      </c>
      <c r="K38" s="271">
        <f t="shared" si="15"/>
        <v>0</v>
      </c>
      <c r="L38" s="271">
        <f t="shared" si="15"/>
        <v>0</v>
      </c>
      <c r="M38" s="271">
        <f t="shared" si="15"/>
        <v>0</v>
      </c>
      <c r="N38" s="271">
        <f t="shared" si="15"/>
        <v>0</v>
      </c>
      <c r="O38" s="271">
        <f t="shared" si="15"/>
        <v>0</v>
      </c>
      <c r="P38" s="271">
        <f t="shared" si="15"/>
        <v>0</v>
      </c>
      <c r="Q38" s="271">
        <f t="shared" si="15"/>
        <v>0</v>
      </c>
      <c r="R38" s="271">
        <f t="shared" si="15"/>
        <v>0</v>
      </c>
      <c r="S38" s="271">
        <f t="shared" si="15"/>
        <v>0</v>
      </c>
      <c r="T38" s="271">
        <f t="shared" si="15"/>
        <v>0</v>
      </c>
      <c r="U38" s="271">
        <f t="shared" si="15"/>
        <v>0</v>
      </c>
      <c r="V38" s="272"/>
    </row>
    <row r="39" spans="1:24" s="78" customFormat="1" ht="12" customHeight="1" thickBot="1">
      <c r="A39" s="79"/>
      <c r="B39" s="278" t="str">
        <f>B38</f>
        <v>SERVICOS COMPLEMENTARES</v>
      </c>
      <c r="C39" s="80"/>
      <c r="D39" s="274">
        <v>0</v>
      </c>
      <c r="E39" s="274">
        <v>0.05</v>
      </c>
      <c r="F39" s="274">
        <v>0.1</v>
      </c>
      <c r="G39" s="274">
        <v>0.1</v>
      </c>
      <c r="H39" s="274">
        <v>0.1</v>
      </c>
      <c r="I39" s="274">
        <v>0.1</v>
      </c>
      <c r="J39" s="274">
        <v>0.11550000000000001</v>
      </c>
      <c r="K39" s="274">
        <v>0.1</v>
      </c>
      <c r="L39" s="274">
        <v>0.1</v>
      </c>
      <c r="M39" s="274">
        <v>0.1</v>
      </c>
      <c r="N39" s="274">
        <v>0.05</v>
      </c>
      <c r="O39" s="274">
        <v>0.05</v>
      </c>
      <c r="P39" s="274"/>
      <c r="Q39" s="274"/>
      <c r="R39" s="274"/>
      <c r="S39" s="274"/>
      <c r="T39" s="274"/>
      <c r="U39" s="274">
        <v>3.4500000000000003E-2</v>
      </c>
      <c r="V39" s="279">
        <f>SUM(D39:U39)</f>
        <v>1</v>
      </c>
    </row>
    <row r="40" spans="1:24" s="76" customFormat="1" ht="12.95" customHeight="1" thickBot="1">
      <c r="A40" s="280"/>
      <c r="B40" s="281" t="s">
        <v>630</v>
      </c>
      <c r="C40" s="282">
        <f>SUM(C10:C39)</f>
        <v>0</v>
      </c>
      <c r="D40" s="283">
        <f>D10+D12+D14+D16+D18+D20+D22+D24+D26+D28+D30+D32+D34+D36+D38</f>
        <v>0</v>
      </c>
      <c r="E40" s="283">
        <f t="shared" ref="E40:U40" si="16">E10+E12+E14+E16+E18+E20+E22+E24+E26+E28+E30+E32+E34+E36+E38</f>
        <v>0</v>
      </c>
      <c r="F40" s="283">
        <f t="shared" si="16"/>
        <v>0</v>
      </c>
      <c r="G40" s="283">
        <f t="shared" si="16"/>
        <v>0</v>
      </c>
      <c r="H40" s="283">
        <f t="shared" si="16"/>
        <v>0</v>
      </c>
      <c r="I40" s="283">
        <f t="shared" si="16"/>
        <v>0</v>
      </c>
      <c r="J40" s="283">
        <f t="shared" si="16"/>
        <v>0</v>
      </c>
      <c r="K40" s="283">
        <f t="shared" si="16"/>
        <v>0</v>
      </c>
      <c r="L40" s="283">
        <f t="shared" si="16"/>
        <v>0</v>
      </c>
      <c r="M40" s="283">
        <f t="shared" si="16"/>
        <v>0</v>
      </c>
      <c r="N40" s="283">
        <f t="shared" si="16"/>
        <v>0</v>
      </c>
      <c r="O40" s="284">
        <f>O10+O12+O14+O16+O18+O20+O22+O24+O26+O28+O30+O32+O34+O36+O38</f>
        <v>0</v>
      </c>
      <c r="P40" s="283">
        <f t="shared" si="16"/>
        <v>0</v>
      </c>
      <c r="Q40" s="283">
        <f t="shared" si="16"/>
        <v>0</v>
      </c>
      <c r="R40" s="283">
        <f t="shared" si="16"/>
        <v>0</v>
      </c>
      <c r="S40" s="283">
        <f t="shared" si="16"/>
        <v>0</v>
      </c>
      <c r="T40" s="283">
        <f t="shared" si="16"/>
        <v>0</v>
      </c>
      <c r="U40" s="284">
        <f t="shared" si="16"/>
        <v>0</v>
      </c>
      <c r="V40" s="285">
        <f>SUM(D40:U40)</f>
        <v>0</v>
      </c>
      <c r="X40" s="77"/>
    </row>
    <row r="41" spans="1:24" s="76" customFormat="1" ht="12.95" customHeight="1" thickBot="1">
      <c r="A41" s="264"/>
      <c r="B41" s="286" t="s">
        <v>631</v>
      </c>
      <c r="C41" s="287">
        <f>SUM(C10:C39)</f>
        <v>0</v>
      </c>
      <c r="D41" s="288">
        <f>D40</f>
        <v>0</v>
      </c>
      <c r="E41" s="288">
        <f>D41+E40</f>
        <v>0</v>
      </c>
      <c r="F41" s="288">
        <f>E41+F40</f>
        <v>0</v>
      </c>
      <c r="G41" s="288">
        <f t="shared" ref="G41:U41" si="17">F41+G40</f>
        <v>0</v>
      </c>
      <c r="H41" s="288">
        <f t="shared" si="17"/>
        <v>0</v>
      </c>
      <c r="I41" s="288">
        <f t="shared" si="17"/>
        <v>0</v>
      </c>
      <c r="J41" s="288">
        <f>I41+J40</f>
        <v>0</v>
      </c>
      <c r="K41" s="288">
        <f t="shared" ref="K41:N41" si="18">J41+K40</f>
        <v>0</v>
      </c>
      <c r="L41" s="288">
        <f t="shared" si="18"/>
        <v>0</v>
      </c>
      <c r="M41" s="288">
        <f t="shared" si="18"/>
        <v>0</v>
      </c>
      <c r="N41" s="288">
        <f t="shared" si="18"/>
        <v>0</v>
      </c>
      <c r="O41" s="289">
        <f>N41+O40</f>
        <v>0</v>
      </c>
      <c r="P41" s="288">
        <f>O41+P40</f>
        <v>0</v>
      </c>
      <c r="Q41" s="288">
        <f>P41+Q40</f>
        <v>0</v>
      </c>
      <c r="R41" s="288">
        <f>Q41+R40</f>
        <v>0</v>
      </c>
      <c r="S41" s="288">
        <f t="shared" si="17"/>
        <v>0</v>
      </c>
      <c r="T41" s="288">
        <f t="shared" si="17"/>
        <v>0</v>
      </c>
      <c r="U41" s="289">
        <f t="shared" si="17"/>
        <v>0</v>
      </c>
      <c r="V41" s="290">
        <f>V38+V36+V34+V32+V30+V28+V26+V24+V22+V20+V18+V16+V14+V12+V10</f>
        <v>0</v>
      </c>
      <c r="W41" s="73"/>
    </row>
    <row r="42" spans="1:24" s="76" customFormat="1" ht="12.95" customHeight="1">
      <c r="A42" s="264"/>
      <c r="B42" s="399" t="s">
        <v>632</v>
      </c>
      <c r="C42" s="400"/>
      <c r="D42" s="291">
        <f>D40/$V$42</f>
        <v>0</v>
      </c>
      <c r="E42" s="292">
        <f>E40/$V$42</f>
        <v>0</v>
      </c>
      <c r="F42" s="292">
        <f>F40/$V$42</f>
        <v>0</v>
      </c>
      <c r="G42" s="292">
        <f t="shared" ref="G42:U42" si="19">G40/$V$42</f>
        <v>0</v>
      </c>
      <c r="H42" s="292">
        <f t="shared" si="19"/>
        <v>0</v>
      </c>
      <c r="I42" s="292">
        <f t="shared" si="19"/>
        <v>0</v>
      </c>
      <c r="J42" s="292">
        <f>J40/$V$42</f>
        <v>0</v>
      </c>
      <c r="K42" s="292">
        <f t="shared" ref="K42:N42" si="20">K40/$V$42</f>
        <v>0</v>
      </c>
      <c r="L42" s="292">
        <f t="shared" si="20"/>
        <v>0</v>
      </c>
      <c r="M42" s="292">
        <f t="shared" si="20"/>
        <v>0</v>
      </c>
      <c r="N42" s="292">
        <f t="shared" si="20"/>
        <v>0</v>
      </c>
      <c r="O42" s="293">
        <f>O40/$V$42</f>
        <v>0</v>
      </c>
      <c r="P42" s="292">
        <f t="shared" si="19"/>
        <v>0</v>
      </c>
      <c r="Q42" s="292">
        <f t="shared" si="19"/>
        <v>0</v>
      </c>
      <c r="R42" s="292">
        <f t="shared" si="19"/>
        <v>0</v>
      </c>
      <c r="S42" s="292">
        <f t="shared" si="19"/>
        <v>0</v>
      </c>
      <c r="T42" s="292">
        <f t="shared" si="19"/>
        <v>0</v>
      </c>
      <c r="U42" s="293">
        <f t="shared" si="19"/>
        <v>0</v>
      </c>
      <c r="V42" s="329">
        <v>1</v>
      </c>
    </row>
    <row r="43" spans="1:24" s="76" customFormat="1" ht="12.95" customHeight="1" thickBot="1">
      <c r="A43" s="81"/>
      <c r="B43" s="392" t="s">
        <v>633</v>
      </c>
      <c r="C43" s="393"/>
      <c r="D43" s="294">
        <f>D42</f>
        <v>0</v>
      </c>
      <c r="E43" s="295">
        <f>D43+E42</f>
        <v>0</v>
      </c>
      <c r="F43" s="295">
        <f t="shared" ref="F43:I43" si="21">E43+F42</f>
        <v>0</v>
      </c>
      <c r="G43" s="295">
        <f t="shared" si="21"/>
        <v>0</v>
      </c>
      <c r="H43" s="295">
        <f>G43+H42</f>
        <v>0</v>
      </c>
      <c r="I43" s="295">
        <f t="shared" si="21"/>
        <v>0</v>
      </c>
      <c r="J43" s="295">
        <f>I43+J42</f>
        <v>0</v>
      </c>
      <c r="K43" s="295">
        <f t="shared" ref="K43:U43" si="22">J43+K42</f>
        <v>0</v>
      </c>
      <c r="L43" s="295">
        <f t="shared" si="22"/>
        <v>0</v>
      </c>
      <c r="M43" s="295">
        <f t="shared" si="22"/>
        <v>0</v>
      </c>
      <c r="N43" s="295">
        <f t="shared" si="22"/>
        <v>0</v>
      </c>
      <c r="O43" s="296">
        <f t="shared" si="22"/>
        <v>0</v>
      </c>
      <c r="P43" s="295">
        <f t="shared" si="22"/>
        <v>0</v>
      </c>
      <c r="Q43" s="295">
        <f t="shared" si="22"/>
        <v>0</v>
      </c>
      <c r="R43" s="295">
        <f t="shared" si="22"/>
        <v>0</v>
      </c>
      <c r="S43" s="295">
        <f t="shared" si="22"/>
        <v>0</v>
      </c>
      <c r="T43" s="295">
        <f t="shared" si="22"/>
        <v>0</v>
      </c>
      <c r="U43" s="295">
        <f t="shared" si="22"/>
        <v>0</v>
      </c>
      <c r="V43" s="297" t="s">
        <v>634</v>
      </c>
    </row>
    <row r="44" spans="1:24" ht="12.95" customHeight="1">
      <c r="A44" s="81" t="s">
        <v>635</v>
      </c>
      <c r="D44" s="298"/>
      <c r="E44" s="299"/>
      <c r="F44" s="299"/>
      <c r="G44" s="299"/>
      <c r="H44" s="299"/>
      <c r="I44" s="299"/>
      <c r="J44" s="299"/>
      <c r="K44" s="299"/>
      <c r="L44" s="300"/>
      <c r="M44" s="299"/>
      <c r="N44" s="299"/>
      <c r="O44" s="301"/>
      <c r="P44" s="299"/>
      <c r="Q44" s="299"/>
      <c r="R44" s="300"/>
      <c r="S44" s="299"/>
      <c r="T44" s="299"/>
      <c r="U44" s="301"/>
      <c r="V44" s="302"/>
    </row>
    <row r="45" spans="1:24">
      <c r="B45" s="303"/>
      <c r="D45" s="304"/>
      <c r="E45" s="305"/>
      <c r="F45" s="305"/>
      <c r="G45" s="305"/>
      <c r="H45" s="305"/>
      <c r="I45" s="305"/>
      <c r="J45" s="305"/>
      <c r="K45" s="305"/>
      <c r="L45" s="306"/>
      <c r="M45" s="305"/>
      <c r="N45" s="305"/>
      <c r="O45" s="307"/>
      <c r="P45" s="305"/>
      <c r="Q45" s="305"/>
      <c r="R45" s="306"/>
      <c r="S45" s="305"/>
      <c r="T45" s="305"/>
      <c r="U45" s="307"/>
    </row>
    <row r="46" spans="1:24" ht="15.75">
      <c r="B46" s="303"/>
      <c r="C46" s="228"/>
      <c r="D46" s="304"/>
      <c r="E46" s="305"/>
      <c r="F46" s="305"/>
      <c r="G46" s="305"/>
      <c r="H46" s="305"/>
      <c r="I46" s="305"/>
      <c r="J46" s="305"/>
      <c r="K46" s="305"/>
      <c r="L46" s="306"/>
      <c r="M46" s="305"/>
      <c r="N46" s="305"/>
      <c r="O46" s="307"/>
      <c r="P46" s="305"/>
      <c r="Q46" s="305"/>
      <c r="R46" s="306"/>
      <c r="S46" s="305"/>
      <c r="T46" s="305"/>
      <c r="U46" s="307"/>
      <c r="X46" s="76"/>
    </row>
    <row r="47" spans="1:24" ht="15">
      <c r="C47" s="308"/>
      <c r="D47" s="309"/>
      <c r="E47" s="310"/>
      <c r="F47" s="310"/>
      <c r="G47" s="310"/>
      <c r="H47" s="310"/>
      <c r="I47" s="310"/>
      <c r="J47" s="310"/>
      <c r="K47" s="310"/>
      <c r="L47" s="311"/>
      <c r="M47" s="305"/>
      <c r="N47" s="305"/>
      <c r="O47" s="307"/>
      <c r="P47" s="310"/>
      <c r="Q47" s="310"/>
      <c r="R47" s="311"/>
      <c r="S47" s="305"/>
      <c r="T47" s="305"/>
      <c r="U47" s="307"/>
    </row>
    <row r="48" spans="1:24" ht="15.75" thickBot="1">
      <c r="D48" s="312"/>
      <c r="E48" s="313"/>
      <c r="F48" s="313"/>
      <c r="G48" s="313"/>
      <c r="H48" s="313"/>
      <c r="I48" s="313"/>
      <c r="J48" s="313"/>
      <c r="K48" s="313"/>
      <c r="L48" s="314"/>
      <c r="M48" s="315"/>
      <c r="N48" s="315"/>
      <c r="O48" s="316"/>
      <c r="P48" s="313"/>
      <c r="Q48" s="313"/>
      <c r="R48" s="314"/>
      <c r="S48" s="315"/>
      <c r="T48" s="315"/>
      <c r="U48" s="316"/>
    </row>
    <row r="49" spans="1:22" ht="15">
      <c r="D49" s="317"/>
      <c r="E49" s="317"/>
      <c r="F49" s="317"/>
      <c r="G49" s="317"/>
      <c r="H49" s="317"/>
      <c r="I49" s="317"/>
      <c r="K49" s="317"/>
      <c r="Q49" s="317"/>
    </row>
    <row r="50" spans="1:22" ht="15">
      <c r="D50" s="317"/>
      <c r="E50" s="317"/>
      <c r="F50" s="317"/>
      <c r="G50" s="317"/>
      <c r="H50" s="317"/>
      <c r="I50" s="317"/>
      <c r="K50" s="317"/>
      <c r="Q50" s="317"/>
    </row>
    <row r="51" spans="1:22" ht="15">
      <c r="D51" s="317"/>
      <c r="E51" s="317"/>
      <c r="F51" s="317"/>
      <c r="G51" s="317"/>
      <c r="H51" s="317"/>
      <c r="I51" s="317"/>
      <c r="J51" s="317"/>
      <c r="K51" s="317"/>
      <c r="L51" s="317"/>
      <c r="P51" s="317"/>
      <c r="Q51" s="317"/>
      <c r="R51" s="317"/>
      <c r="V51" s="318"/>
    </row>
    <row r="52" spans="1:22" ht="15">
      <c r="D52" s="317"/>
      <c r="E52" s="317"/>
      <c r="F52" s="317"/>
      <c r="G52" s="317"/>
      <c r="H52" s="317"/>
      <c r="I52" s="317"/>
      <c r="J52" s="317"/>
      <c r="K52" s="317"/>
      <c r="L52" s="317"/>
      <c r="P52" s="317"/>
      <c r="Q52" s="317"/>
      <c r="R52" s="317"/>
    </row>
    <row r="53" spans="1:22" ht="15">
      <c r="D53" s="317"/>
      <c r="E53" s="317"/>
      <c r="F53" s="317"/>
      <c r="G53" s="317"/>
      <c r="H53" s="317"/>
      <c r="I53" s="317"/>
      <c r="J53" s="317"/>
      <c r="K53" s="317"/>
      <c r="L53" s="317"/>
      <c r="P53" s="317"/>
      <c r="Q53" s="317"/>
      <c r="R53" s="317"/>
    </row>
    <row r="54" spans="1:22" ht="15">
      <c r="D54" s="317"/>
      <c r="E54" s="317"/>
      <c r="F54" s="317"/>
      <c r="G54" s="317"/>
      <c r="H54" s="317"/>
      <c r="I54" s="317"/>
      <c r="J54" s="317"/>
      <c r="K54" s="317"/>
      <c r="L54" s="317"/>
      <c r="P54" s="317"/>
      <c r="Q54" s="317"/>
      <c r="R54" s="317"/>
    </row>
    <row r="55" spans="1:22" ht="15">
      <c r="D55" s="317"/>
      <c r="E55" s="317"/>
      <c r="F55" s="317"/>
      <c r="G55" s="317"/>
      <c r="H55" s="317"/>
      <c r="I55" s="317"/>
      <c r="J55" s="317"/>
      <c r="K55" s="317"/>
      <c r="L55" s="317"/>
      <c r="P55" s="317"/>
      <c r="Q55" s="317"/>
      <c r="R55" s="317"/>
    </row>
    <row r="56" spans="1:22" ht="15">
      <c r="D56" s="317"/>
      <c r="E56" s="317"/>
      <c r="F56" s="317"/>
      <c r="G56" s="317"/>
      <c r="H56" s="317"/>
      <c r="I56" s="317"/>
      <c r="J56" s="317"/>
      <c r="K56" s="317"/>
      <c r="L56" s="317"/>
      <c r="P56" s="317"/>
      <c r="Q56" s="317"/>
      <c r="R56" s="317"/>
    </row>
    <row r="57" spans="1:22" ht="15">
      <c r="D57" s="317"/>
      <c r="E57" s="317"/>
      <c r="F57" s="317"/>
      <c r="G57" s="317"/>
      <c r="H57" s="317"/>
      <c r="I57" s="317"/>
      <c r="J57" s="317"/>
      <c r="K57" s="317"/>
      <c r="L57" s="317"/>
      <c r="P57" s="317"/>
      <c r="Q57" s="317"/>
      <c r="R57" s="317"/>
    </row>
    <row r="58" spans="1:22" ht="15">
      <c r="D58" s="317"/>
      <c r="E58" s="317"/>
      <c r="F58" s="317"/>
      <c r="G58" s="317"/>
      <c r="H58" s="317"/>
      <c r="I58" s="317"/>
      <c r="J58" s="317"/>
      <c r="K58" s="317"/>
      <c r="L58" s="317"/>
      <c r="P58" s="317"/>
      <c r="Q58" s="317"/>
      <c r="R58" s="317"/>
    </row>
    <row r="60" spans="1:22" ht="15">
      <c r="D60" s="317"/>
      <c r="E60" s="317"/>
      <c r="F60" s="317"/>
      <c r="G60" s="317"/>
      <c r="H60" s="317"/>
      <c r="I60" s="317"/>
      <c r="J60" s="317"/>
      <c r="K60" s="317"/>
      <c r="L60" s="317"/>
      <c r="P60" s="317"/>
      <c r="Q60" s="317"/>
      <c r="R60" s="317"/>
    </row>
    <row r="61" spans="1:22" ht="15">
      <c r="B61" s="319"/>
      <c r="C61" s="303"/>
      <c r="D61" s="317"/>
      <c r="E61" s="320"/>
      <c r="F61" s="320"/>
      <c r="G61" s="317"/>
      <c r="H61" s="320"/>
      <c r="I61" s="317"/>
      <c r="J61" s="320"/>
      <c r="K61" s="317"/>
      <c r="L61" s="320"/>
      <c r="P61" s="320"/>
      <c r="Q61" s="317"/>
      <c r="R61" s="320"/>
    </row>
    <row r="62" spans="1:22" ht="15">
      <c r="B62" s="319"/>
      <c r="C62" s="303"/>
      <c r="D62" s="317"/>
      <c r="E62" s="317"/>
      <c r="F62" s="317"/>
      <c r="G62" s="317"/>
      <c r="H62" s="317"/>
      <c r="I62" s="317"/>
      <c r="J62" s="317"/>
      <c r="K62" s="317"/>
      <c r="L62" s="317"/>
      <c r="P62" s="317"/>
      <c r="Q62" s="317"/>
      <c r="R62" s="317"/>
    </row>
    <row r="63" spans="1:22" ht="15">
      <c r="A63" s="321"/>
      <c r="B63" s="319"/>
      <c r="C63" s="303"/>
      <c r="D63" s="320"/>
      <c r="E63" s="317"/>
      <c r="F63" s="317"/>
      <c r="G63" s="320"/>
      <c r="H63" s="317"/>
      <c r="I63" s="320"/>
      <c r="J63" s="317"/>
      <c r="K63" s="320"/>
      <c r="L63" s="317"/>
      <c r="P63" s="317"/>
      <c r="Q63" s="320"/>
      <c r="R63" s="317"/>
    </row>
    <row r="64" spans="1:22" ht="15">
      <c r="D64" s="317"/>
      <c r="E64" s="317"/>
      <c r="F64" s="317"/>
      <c r="G64" s="317"/>
      <c r="H64" s="317"/>
      <c r="I64" s="317"/>
      <c r="J64" s="317"/>
      <c r="K64" s="317"/>
      <c r="L64" s="317"/>
      <c r="P64" s="317"/>
      <c r="Q64" s="317"/>
      <c r="R64" s="317"/>
    </row>
    <row r="65" spans="1:18" ht="15">
      <c r="D65" s="317"/>
      <c r="E65" s="317"/>
      <c r="F65" s="317"/>
      <c r="G65" s="317"/>
      <c r="H65" s="317"/>
      <c r="I65" s="317"/>
      <c r="J65" s="317"/>
      <c r="K65" s="317"/>
      <c r="L65" s="317"/>
      <c r="P65" s="317"/>
      <c r="Q65" s="317"/>
      <c r="R65" s="317"/>
    </row>
    <row r="66" spans="1:18" ht="15">
      <c r="D66" s="317"/>
      <c r="E66" s="317"/>
      <c r="F66" s="317"/>
      <c r="G66" s="317"/>
      <c r="H66" s="317"/>
      <c r="I66" s="317"/>
      <c r="J66" s="317"/>
      <c r="K66" s="317"/>
      <c r="L66" s="317"/>
      <c r="P66" s="317"/>
      <c r="Q66" s="317"/>
      <c r="R66" s="317"/>
    </row>
    <row r="67" spans="1:18" ht="15">
      <c r="D67" s="317"/>
      <c r="E67" s="317"/>
      <c r="F67" s="317"/>
      <c r="G67" s="317"/>
      <c r="H67" s="317"/>
      <c r="I67" s="317"/>
      <c r="J67" s="317"/>
      <c r="K67" s="317"/>
      <c r="L67" s="317"/>
      <c r="P67" s="317"/>
      <c r="Q67" s="317"/>
      <c r="R67" s="317"/>
    </row>
    <row r="68" spans="1:18" ht="15">
      <c r="D68" s="317"/>
      <c r="E68" s="322"/>
      <c r="F68" s="322"/>
      <c r="G68" s="317"/>
      <c r="H68" s="322"/>
      <c r="I68" s="317"/>
      <c r="J68" s="322"/>
      <c r="K68" s="317"/>
      <c r="L68" s="322"/>
      <c r="P68" s="322"/>
      <c r="Q68" s="317"/>
      <c r="R68" s="322"/>
    </row>
    <row r="69" spans="1:18" ht="15">
      <c r="B69" s="323"/>
      <c r="C69" s="323"/>
      <c r="D69" s="317"/>
      <c r="E69" s="317"/>
      <c r="F69" s="317"/>
      <c r="G69" s="317"/>
      <c r="H69" s="317"/>
      <c r="I69" s="317"/>
      <c r="J69" s="317"/>
      <c r="K69" s="317"/>
      <c r="L69" s="317"/>
      <c r="P69" s="317"/>
      <c r="Q69" s="317"/>
      <c r="R69" s="317"/>
    </row>
    <row r="70" spans="1:18" ht="15">
      <c r="B70" s="319"/>
      <c r="C70" s="303"/>
      <c r="D70" s="317"/>
      <c r="E70" s="317"/>
      <c r="F70" s="317"/>
      <c r="G70" s="317"/>
      <c r="H70" s="317"/>
      <c r="I70" s="317"/>
      <c r="J70" s="317"/>
      <c r="K70" s="317"/>
      <c r="L70" s="317"/>
      <c r="P70" s="317"/>
      <c r="Q70" s="317"/>
      <c r="R70" s="317"/>
    </row>
    <row r="71" spans="1:18" ht="15">
      <c r="B71" s="319"/>
      <c r="C71" s="303"/>
      <c r="D71" s="317"/>
      <c r="E71" s="317"/>
      <c r="F71" s="317"/>
      <c r="G71" s="317"/>
      <c r="H71" s="317"/>
      <c r="I71" s="317"/>
      <c r="J71" s="317"/>
      <c r="K71" s="317"/>
      <c r="L71" s="317"/>
      <c r="P71" s="317"/>
      <c r="Q71" s="317"/>
      <c r="R71" s="317"/>
    </row>
    <row r="72" spans="1:18" ht="15">
      <c r="A72" s="321"/>
      <c r="B72" s="319"/>
      <c r="C72" s="303"/>
      <c r="D72" s="320"/>
      <c r="E72" s="317"/>
      <c r="F72" s="317"/>
      <c r="G72" s="320"/>
      <c r="H72" s="317"/>
      <c r="I72" s="320"/>
      <c r="J72" s="317"/>
      <c r="K72" s="320"/>
      <c r="L72" s="317"/>
      <c r="P72" s="317"/>
      <c r="Q72" s="320"/>
      <c r="R72" s="317"/>
    </row>
    <row r="73" spans="1:18" ht="15">
      <c r="D73" s="317"/>
      <c r="E73" s="317"/>
      <c r="F73" s="317"/>
      <c r="G73" s="317"/>
      <c r="H73" s="317"/>
      <c r="I73" s="317"/>
      <c r="J73" s="317"/>
      <c r="K73" s="317"/>
      <c r="L73" s="317"/>
      <c r="P73" s="317"/>
      <c r="Q73" s="317"/>
      <c r="R73" s="317"/>
    </row>
    <row r="74" spans="1:18" ht="15">
      <c r="B74" s="319"/>
      <c r="C74" s="303"/>
      <c r="D74" s="317"/>
      <c r="E74" s="317"/>
      <c r="F74" s="317"/>
      <c r="G74" s="317"/>
      <c r="H74" s="317"/>
      <c r="I74" s="317"/>
      <c r="J74" s="317"/>
      <c r="K74" s="317"/>
      <c r="L74" s="317"/>
      <c r="P74" s="317"/>
      <c r="Q74" s="317"/>
      <c r="R74" s="317"/>
    </row>
    <row r="75" spans="1:18" ht="15">
      <c r="B75" s="319"/>
      <c r="C75" s="303"/>
      <c r="D75" s="317"/>
      <c r="E75" s="317"/>
      <c r="F75" s="317"/>
      <c r="G75" s="317"/>
      <c r="H75" s="317"/>
      <c r="I75" s="317"/>
      <c r="J75" s="317"/>
      <c r="K75" s="317"/>
      <c r="L75" s="317"/>
      <c r="P75" s="317"/>
      <c r="Q75" s="317"/>
      <c r="R75" s="317"/>
    </row>
    <row r="76" spans="1:18" ht="15">
      <c r="A76" s="321"/>
      <c r="B76" s="319"/>
      <c r="C76" s="303"/>
      <c r="D76" s="320"/>
      <c r="E76" s="317"/>
      <c r="F76" s="317"/>
      <c r="G76" s="320"/>
      <c r="H76" s="317"/>
      <c r="I76" s="320"/>
      <c r="J76" s="317"/>
      <c r="K76" s="320"/>
      <c r="L76" s="317"/>
      <c r="P76" s="317"/>
      <c r="Q76" s="320"/>
      <c r="R76" s="317"/>
    </row>
    <row r="77" spans="1:18" ht="15">
      <c r="D77" s="317"/>
      <c r="E77" s="317"/>
      <c r="F77" s="317"/>
      <c r="G77" s="317"/>
      <c r="H77" s="317"/>
      <c r="I77" s="317"/>
      <c r="J77" s="317"/>
      <c r="K77" s="317"/>
      <c r="L77" s="317"/>
      <c r="P77" s="317"/>
      <c r="Q77" s="317"/>
      <c r="R77" s="317"/>
    </row>
    <row r="78" spans="1:18" ht="15">
      <c r="D78" s="317"/>
      <c r="E78" s="317"/>
      <c r="F78" s="317"/>
      <c r="G78" s="317"/>
      <c r="H78" s="317"/>
      <c r="I78" s="317"/>
      <c r="J78" s="317"/>
      <c r="K78" s="317"/>
      <c r="L78" s="317"/>
      <c r="P78" s="317"/>
      <c r="Q78" s="317"/>
      <c r="R78" s="317"/>
    </row>
    <row r="79" spans="1:18" ht="15">
      <c r="D79" s="317"/>
      <c r="E79" s="322"/>
      <c r="F79" s="322"/>
      <c r="G79" s="317"/>
      <c r="H79" s="322"/>
      <c r="I79" s="317"/>
      <c r="J79" s="322"/>
      <c r="K79" s="317"/>
      <c r="L79" s="322"/>
      <c r="P79" s="322"/>
      <c r="Q79" s="317"/>
      <c r="R79" s="322"/>
    </row>
    <row r="80" spans="1:18" ht="15">
      <c r="D80" s="317"/>
      <c r="E80" s="317"/>
      <c r="F80" s="317"/>
      <c r="G80" s="317"/>
      <c r="H80" s="317"/>
      <c r="I80" s="317"/>
      <c r="J80" s="317"/>
      <c r="K80" s="317"/>
      <c r="L80" s="317"/>
      <c r="P80" s="317"/>
      <c r="Q80" s="317"/>
      <c r="R80" s="317"/>
    </row>
    <row r="81" spans="1:18" ht="15">
      <c r="D81" s="317"/>
      <c r="E81" s="317"/>
      <c r="F81" s="317"/>
      <c r="G81" s="317"/>
      <c r="H81" s="317"/>
      <c r="I81" s="317"/>
      <c r="J81" s="317"/>
      <c r="K81" s="317"/>
      <c r="L81" s="317"/>
      <c r="P81" s="317"/>
      <c r="Q81" s="317"/>
      <c r="R81" s="317"/>
    </row>
    <row r="82" spans="1:18" ht="15">
      <c r="B82" s="319"/>
      <c r="C82" s="303"/>
      <c r="D82" s="317"/>
      <c r="E82" s="317"/>
      <c r="F82" s="317"/>
      <c r="G82" s="317"/>
      <c r="H82" s="317"/>
      <c r="I82" s="317"/>
      <c r="J82" s="317"/>
      <c r="K82" s="317"/>
      <c r="L82" s="317"/>
      <c r="P82" s="317"/>
      <c r="Q82" s="317"/>
      <c r="R82" s="317"/>
    </row>
    <row r="83" spans="1:18" ht="15">
      <c r="B83" s="319"/>
      <c r="C83" s="303"/>
      <c r="D83" s="317"/>
      <c r="E83" s="317"/>
      <c r="F83" s="317"/>
      <c r="G83" s="317"/>
      <c r="H83" s="317"/>
      <c r="I83" s="317"/>
      <c r="J83" s="317"/>
      <c r="K83" s="317"/>
      <c r="L83" s="317"/>
      <c r="P83" s="317"/>
      <c r="Q83" s="317"/>
      <c r="R83" s="317"/>
    </row>
    <row r="84" spans="1:18" ht="15">
      <c r="A84" s="321"/>
      <c r="B84" s="319"/>
      <c r="C84" s="303"/>
      <c r="D84" s="320"/>
      <c r="E84" s="317"/>
      <c r="F84" s="317"/>
      <c r="G84" s="320"/>
      <c r="H84" s="317"/>
      <c r="I84" s="320"/>
      <c r="J84" s="317"/>
      <c r="K84" s="320"/>
      <c r="L84" s="317"/>
      <c r="P84" s="317"/>
      <c r="Q84" s="320"/>
      <c r="R84" s="317"/>
    </row>
    <row r="85" spans="1:18" ht="15">
      <c r="D85" s="317"/>
      <c r="E85" s="317"/>
      <c r="F85" s="317"/>
      <c r="G85" s="317"/>
      <c r="H85" s="317"/>
      <c r="I85" s="317"/>
      <c r="J85" s="317"/>
      <c r="K85" s="317"/>
      <c r="L85" s="317"/>
      <c r="P85" s="317"/>
      <c r="Q85" s="317"/>
      <c r="R85" s="317"/>
    </row>
    <row r="86" spans="1:18" ht="15">
      <c r="D86" s="317"/>
      <c r="E86" s="317"/>
      <c r="F86" s="317"/>
      <c r="G86" s="317"/>
      <c r="H86" s="317"/>
      <c r="I86" s="317"/>
      <c r="J86" s="317"/>
      <c r="K86" s="317"/>
      <c r="L86" s="317"/>
      <c r="P86" s="317"/>
      <c r="Q86" s="317"/>
      <c r="R86" s="317"/>
    </row>
    <row r="87" spans="1:18" ht="15">
      <c r="D87" s="317"/>
      <c r="E87" s="322"/>
      <c r="F87" s="322"/>
      <c r="G87" s="317"/>
      <c r="H87" s="322"/>
      <c r="I87" s="317"/>
      <c r="J87" s="322"/>
      <c r="K87" s="317"/>
      <c r="L87" s="322"/>
      <c r="P87" s="322"/>
      <c r="Q87" s="317"/>
      <c r="R87" s="322"/>
    </row>
    <row r="88" spans="1:18" ht="15">
      <c r="B88" s="319"/>
      <c r="C88" s="303"/>
      <c r="D88" s="317"/>
      <c r="E88" s="317"/>
      <c r="F88" s="317"/>
      <c r="G88" s="317"/>
      <c r="H88" s="317"/>
      <c r="I88" s="317"/>
      <c r="J88" s="317"/>
      <c r="K88" s="317"/>
      <c r="L88" s="317"/>
      <c r="P88" s="317"/>
      <c r="Q88" s="317"/>
      <c r="R88" s="317"/>
    </row>
    <row r="89" spans="1:18" ht="15">
      <c r="B89" s="319"/>
      <c r="C89" s="303"/>
      <c r="D89" s="317"/>
      <c r="E89" s="317"/>
      <c r="F89" s="317"/>
      <c r="G89" s="317"/>
      <c r="H89" s="317"/>
      <c r="I89" s="317"/>
      <c r="J89" s="317"/>
      <c r="K89" s="317"/>
      <c r="L89" s="317"/>
      <c r="P89" s="317"/>
      <c r="Q89" s="317"/>
      <c r="R89" s="317"/>
    </row>
    <row r="90" spans="1:18" ht="15">
      <c r="A90" s="321"/>
      <c r="B90" s="319"/>
      <c r="C90" s="303"/>
      <c r="D90" s="320"/>
      <c r="E90" s="317"/>
      <c r="F90" s="317"/>
      <c r="G90" s="320"/>
      <c r="H90" s="317"/>
      <c r="I90" s="320"/>
      <c r="J90" s="317"/>
      <c r="K90" s="320"/>
      <c r="L90" s="317"/>
      <c r="P90" s="317"/>
      <c r="Q90" s="320"/>
      <c r="R90" s="317"/>
    </row>
    <row r="91" spans="1:18" ht="15">
      <c r="B91" s="323"/>
      <c r="C91" s="323"/>
      <c r="D91" s="317"/>
      <c r="E91" s="317"/>
      <c r="F91" s="317"/>
      <c r="G91" s="317"/>
      <c r="H91" s="317"/>
      <c r="I91" s="317"/>
      <c r="J91" s="317"/>
      <c r="K91" s="317"/>
      <c r="L91" s="317"/>
      <c r="P91" s="317"/>
      <c r="Q91" s="317"/>
      <c r="R91" s="317"/>
    </row>
    <row r="92" spans="1:18" ht="15">
      <c r="B92" s="323"/>
      <c r="C92" s="323"/>
      <c r="D92" s="317"/>
      <c r="E92" s="317"/>
      <c r="F92" s="317"/>
      <c r="G92" s="317"/>
      <c r="H92" s="317"/>
      <c r="I92" s="317"/>
      <c r="J92" s="317"/>
      <c r="K92" s="317"/>
      <c r="L92" s="317"/>
      <c r="P92" s="317"/>
      <c r="Q92" s="317"/>
      <c r="R92" s="317"/>
    </row>
    <row r="93" spans="1:18" ht="15">
      <c r="D93" s="317"/>
      <c r="E93" s="317"/>
      <c r="F93" s="317"/>
      <c r="G93" s="317"/>
      <c r="H93" s="317"/>
      <c r="I93" s="317"/>
      <c r="J93" s="317"/>
      <c r="K93" s="317"/>
      <c r="L93" s="317"/>
      <c r="P93" s="317"/>
      <c r="Q93" s="317"/>
      <c r="R93" s="317"/>
    </row>
    <row r="94" spans="1:18" ht="15">
      <c r="B94" s="319"/>
      <c r="C94" s="303"/>
      <c r="D94" s="317"/>
      <c r="E94" s="320"/>
      <c r="F94" s="320"/>
      <c r="G94" s="317"/>
      <c r="H94" s="320"/>
      <c r="I94" s="317"/>
      <c r="J94" s="320"/>
      <c r="K94" s="317"/>
      <c r="L94" s="320"/>
      <c r="P94" s="320"/>
      <c r="Q94" s="317"/>
      <c r="R94" s="320"/>
    </row>
    <row r="95" spans="1:18" ht="15">
      <c r="B95" s="319"/>
      <c r="C95" s="303"/>
      <c r="D95" s="317"/>
      <c r="E95" s="317"/>
      <c r="F95" s="317"/>
      <c r="G95" s="317"/>
      <c r="H95" s="317"/>
      <c r="I95" s="317"/>
      <c r="J95" s="317"/>
      <c r="K95" s="317"/>
      <c r="L95" s="317"/>
      <c r="P95" s="317"/>
      <c r="Q95" s="317"/>
      <c r="R95" s="317"/>
    </row>
    <row r="96" spans="1:18" ht="15">
      <c r="A96" s="321"/>
      <c r="B96" s="319"/>
      <c r="C96" s="303"/>
      <c r="D96" s="320"/>
      <c r="E96" s="317"/>
      <c r="F96" s="317"/>
      <c r="G96" s="320"/>
      <c r="H96" s="317"/>
      <c r="I96" s="320"/>
      <c r="J96" s="317"/>
      <c r="K96" s="320"/>
      <c r="L96" s="317"/>
      <c r="P96" s="317"/>
      <c r="Q96" s="320"/>
      <c r="R96" s="317"/>
    </row>
    <row r="97" spans="1:18" ht="15">
      <c r="D97" s="317"/>
      <c r="E97" s="317"/>
      <c r="F97" s="317"/>
      <c r="G97" s="317"/>
      <c r="H97" s="317"/>
      <c r="I97" s="317"/>
      <c r="J97" s="317"/>
      <c r="K97" s="317"/>
      <c r="L97" s="317"/>
      <c r="P97" s="317"/>
      <c r="Q97" s="317"/>
      <c r="R97" s="317"/>
    </row>
    <row r="98" spans="1:18" ht="15">
      <c r="D98" s="317"/>
      <c r="E98" s="317"/>
      <c r="F98" s="317"/>
      <c r="G98" s="317"/>
      <c r="H98" s="317"/>
      <c r="I98" s="317"/>
      <c r="J98" s="317"/>
      <c r="K98" s="317"/>
      <c r="L98" s="317"/>
      <c r="P98" s="317"/>
      <c r="Q98" s="317"/>
      <c r="R98" s="317"/>
    </row>
    <row r="99" spans="1:18" ht="15">
      <c r="D99" s="317"/>
      <c r="E99" s="320"/>
      <c r="F99" s="320"/>
      <c r="G99" s="317"/>
      <c r="H99" s="320"/>
      <c r="I99" s="317"/>
      <c r="J99" s="320"/>
      <c r="K99" s="317"/>
      <c r="L99" s="320"/>
      <c r="P99" s="320"/>
      <c r="Q99" s="317"/>
      <c r="R99" s="320"/>
    </row>
    <row r="100" spans="1:18" ht="15">
      <c r="D100" s="317"/>
      <c r="E100" s="317"/>
      <c r="F100" s="317"/>
      <c r="G100" s="317"/>
      <c r="H100" s="317"/>
      <c r="I100" s="317"/>
      <c r="J100" s="317"/>
      <c r="K100" s="317"/>
      <c r="L100" s="317"/>
      <c r="P100" s="317"/>
      <c r="Q100" s="317"/>
      <c r="R100" s="317"/>
    </row>
    <row r="101" spans="1:18" ht="15">
      <c r="D101" s="317"/>
      <c r="E101" s="317"/>
      <c r="F101" s="317"/>
      <c r="G101" s="317"/>
      <c r="H101" s="317"/>
      <c r="I101" s="317"/>
      <c r="J101" s="317"/>
      <c r="K101" s="317"/>
      <c r="L101" s="317"/>
      <c r="P101" s="317"/>
      <c r="Q101" s="317"/>
      <c r="R101" s="317"/>
    </row>
    <row r="102" spans="1:18" ht="15">
      <c r="D102" s="317"/>
      <c r="E102" s="317"/>
      <c r="F102" s="317"/>
      <c r="G102" s="317"/>
      <c r="H102" s="317"/>
      <c r="I102" s="317"/>
      <c r="J102" s="317"/>
      <c r="K102" s="317"/>
      <c r="L102" s="317"/>
      <c r="P102" s="317"/>
      <c r="Q102" s="317"/>
      <c r="R102" s="317"/>
    </row>
    <row r="103" spans="1:18" ht="15">
      <c r="D103" s="317"/>
      <c r="E103" s="317"/>
      <c r="F103" s="317"/>
      <c r="G103" s="317"/>
      <c r="H103" s="317"/>
      <c r="I103" s="317"/>
      <c r="J103" s="317"/>
      <c r="K103" s="317"/>
      <c r="L103" s="317"/>
      <c r="P103" s="317"/>
      <c r="Q103" s="317"/>
      <c r="R103" s="317"/>
    </row>
    <row r="104" spans="1:18" ht="15">
      <c r="D104" s="317"/>
      <c r="E104" s="317"/>
      <c r="F104" s="317"/>
      <c r="G104" s="317"/>
      <c r="H104" s="317"/>
      <c r="I104" s="317"/>
      <c r="J104" s="317"/>
      <c r="K104" s="317"/>
      <c r="L104" s="317"/>
      <c r="P104" s="317"/>
      <c r="Q104" s="317"/>
      <c r="R104" s="317"/>
    </row>
    <row r="105" spans="1:18" ht="15">
      <c r="D105" s="317"/>
      <c r="E105" s="317"/>
      <c r="F105" s="317"/>
      <c r="G105" s="317"/>
      <c r="H105" s="317"/>
      <c r="I105" s="317"/>
      <c r="J105" s="317"/>
      <c r="K105" s="317"/>
      <c r="L105" s="317"/>
      <c r="P105" s="317"/>
      <c r="Q105" s="317"/>
      <c r="R105" s="317"/>
    </row>
    <row r="106" spans="1:18" ht="15">
      <c r="B106" s="319"/>
      <c r="C106" s="303"/>
      <c r="D106" s="317"/>
      <c r="E106" s="317"/>
      <c r="F106" s="317"/>
      <c r="G106" s="317"/>
      <c r="H106" s="317"/>
      <c r="I106" s="317"/>
      <c r="J106" s="317"/>
      <c r="K106" s="317"/>
      <c r="L106" s="317"/>
      <c r="P106" s="317"/>
      <c r="Q106" s="317"/>
      <c r="R106" s="317"/>
    </row>
    <row r="107" spans="1:18" ht="15">
      <c r="B107" s="319"/>
      <c r="C107" s="303"/>
      <c r="D107" s="317"/>
      <c r="E107" s="317"/>
      <c r="F107" s="317"/>
      <c r="G107" s="317"/>
      <c r="H107" s="317"/>
      <c r="I107" s="317"/>
      <c r="J107" s="317"/>
      <c r="K107" s="317"/>
      <c r="L107" s="317"/>
      <c r="P107" s="317"/>
      <c r="Q107" s="317"/>
      <c r="R107" s="317"/>
    </row>
    <row r="108" spans="1:18" ht="15">
      <c r="A108" s="321"/>
      <c r="B108" s="319"/>
      <c r="C108" s="303"/>
      <c r="D108" s="320"/>
      <c r="E108" s="317"/>
      <c r="F108" s="317"/>
      <c r="G108" s="320"/>
      <c r="H108" s="317"/>
      <c r="I108" s="320"/>
      <c r="J108" s="317"/>
      <c r="K108" s="320"/>
      <c r="L108" s="317"/>
      <c r="P108" s="317"/>
      <c r="Q108" s="320"/>
      <c r="R108" s="317"/>
    </row>
    <row r="109" spans="1:18" ht="15">
      <c r="D109" s="317"/>
      <c r="E109" s="317"/>
      <c r="F109" s="317"/>
      <c r="G109" s="317"/>
      <c r="H109" s="317"/>
      <c r="I109" s="317"/>
      <c r="J109" s="317"/>
      <c r="K109" s="317"/>
      <c r="L109" s="317"/>
      <c r="P109" s="317"/>
      <c r="Q109" s="317"/>
      <c r="R109" s="317"/>
    </row>
    <row r="110" spans="1:18" ht="15">
      <c r="D110" s="317"/>
      <c r="E110" s="317"/>
      <c r="F110" s="317"/>
      <c r="G110" s="317"/>
      <c r="H110" s="317"/>
      <c r="I110" s="317"/>
      <c r="J110" s="317"/>
      <c r="K110" s="317"/>
      <c r="L110" s="317"/>
      <c r="P110" s="317"/>
      <c r="Q110" s="317"/>
      <c r="R110" s="317"/>
    </row>
    <row r="111" spans="1:18" ht="15">
      <c r="D111" s="317"/>
      <c r="E111" s="322"/>
      <c r="F111" s="322"/>
      <c r="G111" s="317"/>
      <c r="H111" s="322"/>
      <c r="I111" s="317"/>
      <c r="J111" s="322"/>
      <c r="K111" s="317"/>
      <c r="L111" s="322"/>
      <c r="P111" s="322"/>
      <c r="Q111" s="317"/>
      <c r="R111" s="322"/>
    </row>
    <row r="112" spans="1:18" ht="15">
      <c r="D112" s="317"/>
      <c r="E112" s="317"/>
      <c r="F112" s="317"/>
      <c r="G112" s="317"/>
      <c r="H112" s="317"/>
      <c r="I112" s="317"/>
      <c r="J112" s="317"/>
      <c r="K112" s="317"/>
      <c r="L112" s="317"/>
      <c r="P112" s="317"/>
      <c r="Q112" s="317"/>
      <c r="R112" s="317"/>
    </row>
    <row r="113" spans="1:18" ht="15">
      <c r="D113" s="317"/>
      <c r="E113" s="317"/>
      <c r="F113" s="317"/>
      <c r="G113" s="317"/>
      <c r="H113" s="317"/>
      <c r="I113" s="317"/>
      <c r="J113" s="317"/>
      <c r="K113" s="317"/>
      <c r="L113" s="317"/>
      <c r="P113" s="317"/>
      <c r="Q113" s="317"/>
      <c r="R113" s="317"/>
    </row>
    <row r="114" spans="1:18" ht="15">
      <c r="D114" s="317"/>
      <c r="E114" s="317"/>
      <c r="F114" s="317"/>
      <c r="G114" s="317"/>
      <c r="H114" s="317"/>
      <c r="I114" s="317"/>
      <c r="J114" s="317"/>
      <c r="K114" s="317"/>
      <c r="L114" s="317"/>
      <c r="P114" s="317"/>
      <c r="Q114" s="317"/>
      <c r="R114" s="317"/>
    </row>
    <row r="115" spans="1:18" ht="15">
      <c r="D115" s="317"/>
      <c r="E115" s="317"/>
      <c r="F115" s="317"/>
      <c r="G115" s="317"/>
      <c r="H115" s="317"/>
      <c r="I115" s="317"/>
      <c r="J115" s="317"/>
      <c r="K115" s="317"/>
      <c r="L115" s="317"/>
      <c r="P115" s="317"/>
      <c r="Q115" s="317"/>
      <c r="R115" s="317"/>
    </row>
    <row r="116" spans="1:18" ht="15">
      <c r="D116" s="317"/>
      <c r="E116" s="317"/>
      <c r="F116" s="317"/>
      <c r="G116" s="317"/>
      <c r="H116" s="317"/>
      <c r="I116" s="317"/>
      <c r="J116" s="317"/>
      <c r="K116" s="317"/>
      <c r="L116" s="317"/>
      <c r="P116" s="317"/>
      <c r="Q116" s="317"/>
      <c r="R116" s="317"/>
    </row>
    <row r="117" spans="1:18" ht="15">
      <c r="D117" s="317"/>
      <c r="E117" s="317"/>
      <c r="F117" s="317"/>
      <c r="G117" s="317"/>
      <c r="H117" s="317"/>
      <c r="I117" s="317"/>
      <c r="J117" s="317"/>
      <c r="K117" s="317"/>
      <c r="L117" s="317"/>
      <c r="P117" s="317"/>
      <c r="Q117" s="317"/>
      <c r="R117" s="317"/>
    </row>
    <row r="118" spans="1:18" ht="15">
      <c r="B118" s="319"/>
      <c r="C118" s="303"/>
      <c r="D118" s="317"/>
      <c r="E118" s="317"/>
      <c r="F118" s="317"/>
      <c r="G118" s="317"/>
      <c r="H118" s="317"/>
      <c r="I118" s="317"/>
      <c r="J118" s="317"/>
      <c r="K118" s="317"/>
      <c r="L118" s="317"/>
      <c r="P118" s="317"/>
      <c r="Q118" s="317"/>
      <c r="R118" s="317"/>
    </row>
    <row r="119" spans="1:18" ht="15">
      <c r="B119" s="319"/>
      <c r="C119" s="303"/>
      <c r="D119" s="317"/>
      <c r="E119" s="317"/>
      <c r="F119" s="317"/>
      <c r="G119" s="317"/>
      <c r="H119" s="317"/>
      <c r="I119" s="317"/>
      <c r="J119" s="317"/>
      <c r="K119" s="317"/>
      <c r="L119" s="317"/>
      <c r="P119" s="317"/>
      <c r="Q119" s="317"/>
      <c r="R119" s="317"/>
    </row>
    <row r="120" spans="1:18" ht="15">
      <c r="A120" s="321"/>
      <c r="B120" s="319"/>
      <c r="C120" s="303"/>
      <c r="D120" s="320"/>
      <c r="E120" s="317"/>
      <c r="F120" s="317"/>
      <c r="G120" s="320"/>
      <c r="H120" s="317"/>
      <c r="I120" s="320"/>
      <c r="J120" s="317"/>
      <c r="K120" s="320"/>
      <c r="L120" s="317"/>
      <c r="P120" s="317"/>
      <c r="Q120" s="320"/>
      <c r="R120" s="317"/>
    </row>
    <row r="121" spans="1:18" ht="15">
      <c r="D121" s="317"/>
      <c r="E121" s="317"/>
      <c r="F121" s="317"/>
      <c r="G121" s="317"/>
      <c r="H121" s="317"/>
      <c r="I121" s="317"/>
      <c r="J121" s="317"/>
      <c r="K121" s="317"/>
      <c r="L121" s="317"/>
      <c r="P121" s="317"/>
      <c r="Q121" s="317"/>
      <c r="R121" s="317"/>
    </row>
    <row r="122" spans="1:18" ht="15">
      <c r="D122" s="317"/>
      <c r="E122" s="317"/>
      <c r="F122" s="317"/>
      <c r="G122" s="317"/>
      <c r="H122" s="317"/>
      <c r="I122" s="317"/>
      <c r="J122" s="317"/>
      <c r="K122" s="317"/>
      <c r="L122" s="317"/>
      <c r="P122" s="317"/>
      <c r="Q122" s="317"/>
      <c r="R122" s="317"/>
    </row>
    <row r="123" spans="1:18" ht="15">
      <c r="D123" s="317"/>
      <c r="E123" s="320"/>
      <c r="F123" s="320"/>
      <c r="G123" s="317"/>
      <c r="H123" s="320"/>
      <c r="I123" s="317"/>
      <c r="J123" s="320"/>
      <c r="K123" s="317"/>
      <c r="L123" s="320"/>
      <c r="P123" s="320"/>
      <c r="Q123" s="317"/>
      <c r="R123" s="320"/>
    </row>
    <row r="124" spans="1:18" ht="15">
      <c r="D124" s="317"/>
      <c r="E124" s="317"/>
      <c r="F124" s="317"/>
      <c r="G124" s="317"/>
      <c r="H124" s="317"/>
      <c r="I124" s="317"/>
      <c r="J124" s="317"/>
      <c r="K124" s="317"/>
      <c r="L124" s="317"/>
      <c r="P124" s="317"/>
      <c r="Q124" s="317"/>
      <c r="R124" s="317"/>
    </row>
    <row r="125" spans="1:18" ht="15">
      <c r="D125" s="317"/>
      <c r="E125" s="317"/>
      <c r="F125" s="317"/>
      <c r="G125" s="317"/>
      <c r="H125" s="317"/>
      <c r="I125" s="317"/>
      <c r="J125" s="317"/>
      <c r="K125" s="317"/>
      <c r="L125" s="317"/>
      <c r="P125" s="317"/>
      <c r="Q125" s="317"/>
      <c r="R125" s="317"/>
    </row>
    <row r="126" spans="1:18" ht="15">
      <c r="B126" s="263"/>
      <c r="C126" s="264"/>
      <c r="D126" s="317"/>
      <c r="E126" s="317"/>
      <c r="F126" s="317"/>
      <c r="G126" s="317"/>
      <c r="H126" s="317"/>
      <c r="I126" s="317"/>
      <c r="J126" s="317"/>
      <c r="K126" s="317"/>
      <c r="L126" s="317"/>
      <c r="P126" s="317"/>
      <c r="Q126" s="317"/>
      <c r="R126" s="317"/>
    </row>
    <row r="127" spans="1:18" ht="15">
      <c r="D127" s="317"/>
      <c r="E127" s="317"/>
      <c r="F127" s="317"/>
      <c r="G127" s="317"/>
      <c r="H127" s="317"/>
      <c r="I127" s="317"/>
      <c r="J127" s="317"/>
      <c r="K127" s="317"/>
      <c r="L127" s="317"/>
      <c r="P127" s="317"/>
      <c r="Q127" s="317"/>
      <c r="R127" s="317"/>
    </row>
    <row r="128" spans="1:18" ht="15">
      <c r="D128" s="317"/>
      <c r="E128" s="317"/>
      <c r="F128" s="317"/>
      <c r="G128" s="317"/>
      <c r="H128" s="317"/>
      <c r="I128" s="317"/>
      <c r="J128" s="317"/>
      <c r="K128" s="317"/>
      <c r="L128" s="317"/>
      <c r="P128" s="317"/>
      <c r="Q128" s="317"/>
      <c r="R128" s="317"/>
    </row>
    <row r="129" spans="1:18" ht="15">
      <c r="D129" s="317"/>
      <c r="E129" s="317"/>
      <c r="F129" s="317"/>
      <c r="G129" s="317"/>
      <c r="H129" s="317"/>
      <c r="I129" s="317"/>
      <c r="J129" s="317"/>
      <c r="K129" s="317"/>
      <c r="L129" s="317"/>
      <c r="P129" s="317"/>
      <c r="Q129" s="317"/>
      <c r="R129" s="317"/>
    </row>
    <row r="130" spans="1:18" ht="15">
      <c r="D130" s="317"/>
      <c r="G130" s="317"/>
      <c r="I130" s="317"/>
      <c r="K130" s="317"/>
      <c r="Q130" s="317"/>
    </row>
    <row r="131" spans="1:18" ht="15">
      <c r="B131" s="263"/>
      <c r="C131" s="264"/>
      <c r="D131" s="317"/>
      <c r="E131" s="317"/>
      <c r="F131" s="317"/>
      <c r="G131" s="317"/>
      <c r="H131" s="317"/>
      <c r="I131" s="317"/>
      <c r="J131" s="317"/>
      <c r="K131" s="317"/>
      <c r="L131" s="317"/>
      <c r="P131" s="317"/>
      <c r="Q131" s="317"/>
      <c r="R131" s="317"/>
    </row>
    <row r="132" spans="1:18" ht="15">
      <c r="D132" s="317"/>
      <c r="G132" s="317"/>
      <c r="I132" s="317"/>
      <c r="K132" s="317"/>
      <c r="Q132" s="317"/>
    </row>
    <row r="133" spans="1:18" ht="15">
      <c r="B133" s="324"/>
      <c r="C133" s="325"/>
      <c r="D133" s="317"/>
      <c r="E133" s="317"/>
      <c r="F133" s="317"/>
      <c r="G133" s="317"/>
      <c r="H133" s="317"/>
      <c r="I133" s="317"/>
      <c r="J133" s="317"/>
      <c r="K133" s="317"/>
      <c r="L133" s="317"/>
      <c r="P133" s="317"/>
      <c r="Q133" s="317"/>
      <c r="R133" s="317"/>
    </row>
    <row r="134" spans="1:18" ht="15">
      <c r="D134" s="317"/>
      <c r="E134" s="317"/>
      <c r="F134" s="317"/>
      <c r="G134" s="317"/>
      <c r="H134" s="317"/>
      <c r="I134" s="317"/>
      <c r="J134" s="317"/>
      <c r="K134" s="317"/>
      <c r="L134" s="317"/>
      <c r="P134" s="317"/>
      <c r="Q134" s="317"/>
      <c r="R134" s="317"/>
    </row>
    <row r="135" spans="1:18" ht="15">
      <c r="D135" s="317"/>
      <c r="E135" s="317"/>
      <c r="F135" s="317"/>
      <c r="G135" s="317"/>
      <c r="H135" s="317"/>
      <c r="I135" s="317"/>
      <c r="J135" s="317"/>
      <c r="K135" s="317"/>
      <c r="L135" s="317"/>
      <c r="P135" s="317"/>
      <c r="Q135" s="317"/>
      <c r="R135" s="317"/>
    </row>
    <row r="136" spans="1:18" ht="15">
      <c r="D136" s="317"/>
      <c r="E136" s="317"/>
      <c r="F136" s="317"/>
      <c r="G136" s="317"/>
      <c r="H136" s="317"/>
      <c r="I136" s="317"/>
      <c r="J136" s="317"/>
      <c r="K136" s="317"/>
      <c r="L136" s="317"/>
      <c r="P136" s="317"/>
      <c r="Q136" s="317"/>
      <c r="R136" s="317"/>
    </row>
    <row r="137" spans="1:18" ht="15">
      <c r="D137" s="317"/>
      <c r="E137" s="317"/>
      <c r="F137" s="317"/>
      <c r="G137" s="317"/>
      <c r="H137" s="317"/>
      <c r="I137" s="317"/>
      <c r="J137" s="317"/>
      <c r="K137" s="317"/>
      <c r="L137" s="317"/>
      <c r="P137" s="317"/>
      <c r="Q137" s="317"/>
      <c r="R137" s="317"/>
    </row>
    <row r="138" spans="1:18" ht="15">
      <c r="B138" s="319"/>
      <c r="C138" s="303"/>
      <c r="D138" s="317"/>
      <c r="E138" s="317"/>
      <c r="F138" s="317"/>
      <c r="G138" s="317"/>
      <c r="H138" s="317"/>
      <c r="I138" s="317"/>
      <c r="J138" s="317"/>
      <c r="K138" s="317"/>
      <c r="L138" s="317"/>
      <c r="P138" s="317"/>
      <c r="Q138" s="317"/>
      <c r="R138" s="317"/>
    </row>
    <row r="139" spans="1:18" ht="15">
      <c r="B139" s="319"/>
      <c r="C139" s="303"/>
      <c r="D139" s="317"/>
      <c r="E139" s="317"/>
      <c r="F139" s="317"/>
      <c r="G139" s="317"/>
      <c r="H139" s="317"/>
      <c r="I139" s="317"/>
      <c r="J139" s="317"/>
      <c r="K139" s="317"/>
      <c r="L139" s="317"/>
      <c r="P139" s="317"/>
      <c r="Q139" s="317"/>
      <c r="R139" s="317"/>
    </row>
    <row r="140" spans="1:18" ht="15">
      <c r="A140" s="321"/>
      <c r="B140" s="319"/>
      <c r="C140" s="303"/>
      <c r="D140" s="320"/>
      <c r="E140" s="317"/>
      <c r="F140" s="317"/>
      <c r="G140" s="320"/>
      <c r="H140" s="317"/>
      <c r="I140" s="320"/>
      <c r="J140" s="317"/>
      <c r="K140" s="320"/>
      <c r="L140" s="317"/>
      <c r="P140" s="317"/>
      <c r="Q140" s="320"/>
      <c r="R140" s="317"/>
    </row>
    <row r="141" spans="1:18" ht="15">
      <c r="D141" s="317"/>
      <c r="E141" s="317"/>
      <c r="F141" s="317"/>
      <c r="G141" s="317"/>
      <c r="H141" s="317"/>
      <c r="I141" s="317"/>
      <c r="J141" s="317"/>
      <c r="K141" s="317"/>
      <c r="L141" s="317"/>
      <c r="P141" s="317"/>
      <c r="Q141" s="317"/>
      <c r="R141" s="317"/>
    </row>
    <row r="142" spans="1:18" ht="15">
      <c r="D142" s="317"/>
      <c r="E142" s="317"/>
      <c r="F142" s="317"/>
      <c r="G142" s="317"/>
      <c r="H142" s="317"/>
      <c r="I142" s="317"/>
      <c r="J142" s="317"/>
      <c r="K142" s="317"/>
      <c r="L142" s="317"/>
      <c r="P142" s="317"/>
      <c r="Q142" s="317"/>
      <c r="R142" s="317"/>
    </row>
    <row r="143" spans="1:18" ht="15">
      <c r="D143" s="317"/>
      <c r="E143" s="322"/>
      <c r="F143" s="322"/>
      <c r="G143" s="317"/>
      <c r="H143" s="322"/>
      <c r="I143" s="317"/>
      <c r="J143" s="322"/>
      <c r="K143" s="317"/>
      <c r="L143" s="322"/>
      <c r="P143" s="322"/>
      <c r="Q143" s="317"/>
      <c r="R143" s="322"/>
    </row>
    <row r="144" spans="1:18" ht="15">
      <c r="D144" s="317"/>
      <c r="E144" s="317"/>
      <c r="F144" s="317"/>
      <c r="G144" s="317"/>
      <c r="H144" s="317"/>
      <c r="I144" s="317"/>
      <c r="J144" s="317"/>
      <c r="K144" s="317"/>
      <c r="L144" s="317"/>
      <c r="P144" s="317"/>
      <c r="Q144" s="317"/>
      <c r="R144" s="317"/>
    </row>
    <row r="145" spans="4:18" ht="15">
      <c r="D145" s="317"/>
      <c r="E145" s="317"/>
      <c r="F145" s="317"/>
      <c r="G145" s="317"/>
      <c r="H145" s="317"/>
      <c r="I145" s="317"/>
      <c r="J145" s="317"/>
      <c r="K145" s="317"/>
      <c r="L145" s="317"/>
      <c r="P145" s="317"/>
      <c r="Q145" s="317"/>
      <c r="R145" s="317"/>
    </row>
    <row r="146" spans="4:18" ht="15">
      <c r="D146" s="317"/>
      <c r="E146" s="317"/>
      <c r="F146" s="317"/>
      <c r="G146" s="317"/>
      <c r="H146" s="317"/>
      <c r="I146" s="317"/>
      <c r="J146" s="317"/>
      <c r="K146" s="317"/>
      <c r="L146" s="317"/>
      <c r="P146" s="317"/>
      <c r="Q146" s="317"/>
      <c r="R146" s="317"/>
    </row>
    <row r="147" spans="4:18" ht="15">
      <c r="D147" s="317"/>
      <c r="E147" s="317"/>
      <c r="F147" s="317"/>
      <c r="G147" s="317"/>
      <c r="H147" s="317"/>
      <c r="I147" s="317"/>
      <c r="J147" s="317"/>
      <c r="K147" s="317"/>
      <c r="L147" s="317"/>
      <c r="P147" s="317"/>
      <c r="Q147" s="317"/>
      <c r="R147" s="317"/>
    </row>
    <row r="148" spans="4:18" ht="15">
      <c r="D148" s="317"/>
      <c r="E148" s="317"/>
      <c r="F148" s="317"/>
      <c r="G148" s="317"/>
      <c r="H148" s="317"/>
      <c r="I148" s="317"/>
      <c r="J148" s="317"/>
      <c r="K148" s="317"/>
      <c r="L148" s="317"/>
      <c r="P148" s="317"/>
      <c r="Q148" s="317"/>
      <c r="R148" s="317"/>
    </row>
    <row r="149" spans="4:18" ht="15">
      <c r="D149" s="317"/>
      <c r="E149" s="317"/>
      <c r="F149" s="317"/>
      <c r="G149" s="317"/>
      <c r="H149" s="317"/>
      <c r="I149" s="317"/>
      <c r="J149" s="317"/>
      <c r="K149" s="317"/>
      <c r="L149" s="317"/>
      <c r="P149" s="317"/>
      <c r="Q149" s="317"/>
      <c r="R149" s="317"/>
    </row>
    <row r="150" spans="4:18" ht="15">
      <c r="D150" s="317"/>
      <c r="E150" s="317"/>
      <c r="F150" s="317"/>
      <c r="G150" s="317"/>
      <c r="H150" s="317"/>
      <c r="I150" s="317"/>
      <c r="J150" s="317"/>
      <c r="K150" s="317"/>
      <c r="L150" s="317"/>
      <c r="P150" s="317"/>
      <c r="Q150" s="317"/>
      <c r="R150" s="317"/>
    </row>
    <row r="151" spans="4:18" ht="15">
      <c r="D151" s="317"/>
      <c r="E151" s="317"/>
      <c r="F151" s="317"/>
      <c r="G151" s="317"/>
      <c r="H151" s="317"/>
      <c r="I151" s="317"/>
      <c r="J151" s="317"/>
      <c r="K151" s="317"/>
      <c r="L151" s="317"/>
      <c r="P151" s="317"/>
      <c r="Q151" s="317"/>
      <c r="R151" s="317"/>
    </row>
    <row r="152" spans="4:18" ht="15">
      <c r="D152" s="317"/>
      <c r="E152" s="317"/>
      <c r="F152" s="317"/>
      <c r="G152" s="317"/>
      <c r="H152" s="317"/>
      <c r="I152" s="317"/>
      <c r="J152" s="317"/>
      <c r="K152" s="317"/>
      <c r="L152" s="317"/>
      <c r="P152" s="317"/>
      <c r="Q152" s="317"/>
      <c r="R152" s="317"/>
    </row>
    <row r="153" spans="4:18" ht="15">
      <c r="D153" s="317"/>
      <c r="E153" s="317"/>
      <c r="F153" s="317"/>
      <c r="G153" s="317"/>
      <c r="H153" s="317"/>
      <c r="I153" s="317"/>
      <c r="J153" s="317"/>
      <c r="K153" s="317"/>
      <c r="L153" s="317"/>
      <c r="P153" s="317"/>
      <c r="Q153" s="317"/>
      <c r="R153" s="317"/>
    </row>
    <row r="154" spans="4:18" ht="15">
      <c r="D154" s="317"/>
      <c r="E154" s="317"/>
      <c r="F154" s="317"/>
      <c r="G154" s="317"/>
      <c r="H154" s="317"/>
      <c r="I154" s="317"/>
      <c r="J154" s="317"/>
      <c r="K154" s="317"/>
      <c r="L154" s="317"/>
      <c r="P154" s="317"/>
      <c r="Q154" s="317"/>
      <c r="R154" s="317"/>
    </row>
    <row r="155" spans="4:18" ht="15">
      <c r="D155" s="317"/>
      <c r="E155" s="317"/>
      <c r="F155" s="317"/>
      <c r="G155" s="317"/>
      <c r="H155" s="317"/>
      <c r="I155" s="317"/>
      <c r="J155" s="317"/>
      <c r="K155" s="317"/>
      <c r="L155" s="317"/>
      <c r="P155" s="317"/>
      <c r="Q155" s="317"/>
      <c r="R155" s="317"/>
    </row>
    <row r="156" spans="4:18" ht="15">
      <c r="D156" s="317"/>
      <c r="E156" s="317"/>
      <c r="F156" s="317"/>
      <c r="G156" s="317"/>
      <c r="H156" s="317"/>
      <c r="I156" s="317"/>
      <c r="J156" s="317"/>
      <c r="K156" s="317"/>
      <c r="L156" s="317"/>
      <c r="P156" s="317"/>
      <c r="Q156" s="317"/>
      <c r="R156" s="317"/>
    </row>
    <row r="157" spans="4:18" ht="15">
      <c r="D157" s="317"/>
      <c r="E157" s="317"/>
      <c r="F157" s="317"/>
      <c r="G157" s="317"/>
      <c r="H157" s="317"/>
      <c r="I157" s="317"/>
      <c r="J157" s="317"/>
      <c r="K157" s="317"/>
      <c r="L157" s="317"/>
      <c r="P157" s="317"/>
      <c r="Q157" s="317"/>
      <c r="R157" s="317"/>
    </row>
    <row r="158" spans="4:18" ht="15">
      <c r="D158" s="317"/>
      <c r="E158" s="317"/>
      <c r="F158" s="317"/>
      <c r="G158" s="317"/>
      <c r="H158" s="317"/>
      <c r="I158" s="317"/>
      <c r="J158" s="317"/>
      <c r="K158" s="317"/>
      <c r="L158" s="317"/>
      <c r="P158" s="317"/>
      <c r="Q158" s="317"/>
      <c r="R158" s="317"/>
    </row>
    <row r="159" spans="4:18" ht="15">
      <c r="D159" s="317"/>
      <c r="E159" s="317"/>
      <c r="F159" s="317"/>
      <c r="G159" s="317"/>
      <c r="H159" s="317"/>
      <c r="I159" s="317"/>
      <c r="J159" s="317"/>
      <c r="K159" s="317"/>
      <c r="L159" s="317"/>
      <c r="P159" s="317"/>
      <c r="Q159" s="317"/>
      <c r="R159" s="317"/>
    </row>
    <row r="160" spans="4:18" ht="15">
      <c r="D160" s="317"/>
      <c r="G160" s="317"/>
      <c r="I160" s="317"/>
      <c r="K160" s="317"/>
      <c r="Q160" s="317"/>
    </row>
    <row r="161" spans="1:18" ht="15">
      <c r="D161" s="317"/>
      <c r="E161" s="317"/>
      <c r="F161" s="317"/>
      <c r="G161" s="317"/>
      <c r="H161" s="317"/>
      <c r="I161" s="317"/>
      <c r="J161" s="317"/>
      <c r="K161" s="317"/>
      <c r="L161" s="317"/>
      <c r="P161" s="317"/>
      <c r="Q161" s="317"/>
      <c r="R161" s="317"/>
    </row>
    <row r="162" spans="1:18" ht="15">
      <c r="D162" s="317"/>
      <c r="E162" s="317"/>
      <c r="F162" s="317"/>
      <c r="G162" s="317"/>
      <c r="H162" s="317"/>
      <c r="I162" s="317"/>
      <c r="J162" s="317"/>
      <c r="K162" s="317"/>
      <c r="L162" s="317"/>
      <c r="P162" s="317"/>
      <c r="Q162" s="317"/>
      <c r="R162" s="317"/>
    </row>
    <row r="163" spans="1:18" ht="15">
      <c r="D163" s="317"/>
      <c r="E163" s="317"/>
      <c r="F163" s="317"/>
      <c r="G163" s="317"/>
      <c r="H163" s="317"/>
      <c r="I163" s="317"/>
      <c r="J163" s="317"/>
      <c r="K163" s="317"/>
      <c r="L163" s="317"/>
      <c r="P163" s="317"/>
      <c r="Q163" s="317"/>
      <c r="R163" s="317"/>
    </row>
    <row r="164" spans="1:18" ht="15">
      <c r="D164" s="317"/>
      <c r="E164" s="317"/>
      <c r="F164" s="317"/>
      <c r="G164" s="317"/>
      <c r="H164" s="317"/>
      <c r="I164" s="317"/>
      <c r="J164" s="317"/>
      <c r="K164" s="317"/>
      <c r="L164" s="317"/>
      <c r="P164" s="317"/>
      <c r="Q164" s="317"/>
      <c r="R164" s="317"/>
    </row>
    <row r="165" spans="1:18" ht="15">
      <c r="D165" s="317"/>
      <c r="E165" s="317"/>
      <c r="F165" s="317"/>
      <c r="G165" s="317"/>
      <c r="H165" s="317"/>
      <c r="I165" s="317"/>
      <c r="J165" s="317"/>
      <c r="K165" s="317"/>
      <c r="L165" s="317"/>
      <c r="P165" s="317"/>
      <c r="Q165" s="317"/>
      <c r="R165" s="317"/>
    </row>
    <row r="166" spans="1:18" ht="15">
      <c r="D166" s="317"/>
      <c r="E166" s="317"/>
      <c r="F166" s="317"/>
      <c r="G166" s="317"/>
      <c r="H166" s="317"/>
      <c r="I166" s="317"/>
      <c r="J166" s="317"/>
      <c r="K166" s="317"/>
      <c r="L166" s="317"/>
      <c r="P166" s="317"/>
      <c r="Q166" s="317"/>
      <c r="R166" s="317"/>
    </row>
    <row r="167" spans="1:18" ht="15">
      <c r="B167" s="319"/>
      <c r="C167" s="303"/>
      <c r="D167" s="317"/>
      <c r="E167" s="317"/>
      <c r="F167" s="317"/>
      <c r="G167" s="317"/>
      <c r="H167" s="317"/>
      <c r="I167" s="317"/>
      <c r="J167" s="317"/>
      <c r="K167" s="317"/>
      <c r="L167" s="317"/>
      <c r="P167" s="317"/>
      <c r="Q167" s="317"/>
      <c r="R167" s="317"/>
    </row>
    <row r="168" spans="1:18" ht="15">
      <c r="B168" s="319"/>
      <c r="C168" s="303"/>
      <c r="D168" s="317"/>
      <c r="E168" s="317"/>
      <c r="F168" s="317"/>
      <c r="G168" s="317"/>
      <c r="H168" s="317"/>
      <c r="I168" s="317"/>
      <c r="J168" s="317"/>
      <c r="K168" s="317"/>
      <c r="L168" s="317"/>
      <c r="P168" s="317"/>
      <c r="Q168" s="317"/>
      <c r="R168" s="317"/>
    </row>
    <row r="169" spans="1:18" ht="15">
      <c r="A169" s="321"/>
      <c r="B169" s="319"/>
      <c r="C169" s="303"/>
      <c r="D169" s="317"/>
      <c r="E169" s="317"/>
      <c r="F169" s="317"/>
      <c r="G169" s="317"/>
      <c r="H169" s="317"/>
      <c r="I169" s="317"/>
      <c r="J169" s="317"/>
      <c r="K169" s="317"/>
      <c r="L169" s="317"/>
      <c r="P169" s="317"/>
      <c r="Q169" s="317"/>
      <c r="R169" s="317"/>
    </row>
    <row r="170" spans="1:18" ht="15">
      <c r="B170" s="326"/>
      <c r="C170" s="327"/>
      <c r="D170" s="317"/>
      <c r="E170" s="317"/>
      <c r="F170" s="317"/>
      <c r="G170" s="317"/>
      <c r="H170" s="317"/>
      <c r="I170" s="317"/>
      <c r="J170" s="317"/>
      <c r="K170" s="317"/>
      <c r="L170" s="317"/>
      <c r="P170" s="317"/>
      <c r="Q170" s="317"/>
      <c r="R170" s="317"/>
    </row>
    <row r="171" spans="1:18" ht="15">
      <c r="B171" s="319"/>
      <c r="C171" s="303"/>
      <c r="D171" s="317"/>
      <c r="E171" s="317"/>
      <c r="F171" s="317"/>
      <c r="G171" s="317"/>
      <c r="H171" s="317"/>
      <c r="I171" s="317"/>
      <c r="J171" s="317"/>
      <c r="K171" s="317"/>
      <c r="L171" s="317"/>
      <c r="P171" s="317"/>
      <c r="Q171" s="317"/>
      <c r="R171" s="317"/>
    </row>
    <row r="173" spans="1:18" ht="15">
      <c r="A173" s="321"/>
      <c r="B173" s="328"/>
      <c r="C173" s="328"/>
      <c r="D173" s="320"/>
      <c r="E173" s="317"/>
      <c r="F173" s="317"/>
      <c r="G173" s="320"/>
      <c r="H173" s="317"/>
      <c r="I173" s="320"/>
      <c r="J173" s="317"/>
      <c r="K173" s="320"/>
      <c r="L173" s="317"/>
      <c r="P173" s="317"/>
      <c r="Q173" s="320"/>
      <c r="R173" s="317"/>
    </row>
    <row r="174" spans="1:18" ht="15">
      <c r="B174" s="323"/>
      <c r="C174" s="323"/>
      <c r="D174" s="317"/>
      <c r="E174" s="317"/>
      <c r="F174" s="317"/>
      <c r="G174" s="317"/>
      <c r="H174" s="317"/>
      <c r="I174" s="317"/>
      <c r="J174" s="317"/>
      <c r="K174" s="317"/>
      <c r="L174" s="317"/>
      <c r="P174" s="317"/>
      <c r="Q174" s="317"/>
      <c r="R174" s="317"/>
    </row>
    <row r="175" spans="1:18" ht="15">
      <c r="B175" s="319"/>
      <c r="C175" s="303"/>
      <c r="D175" s="317"/>
      <c r="E175" s="320"/>
      <c r="F175" s="320"/>
      <c r="G175" s="317"/>
      <c r="H175" s="320"/>
      <c r="I175" s="317"/>
      <c r="J175" s="320"/>
      <c r="K175" s="317"/>
      <c r="L175" s="320"/>
      <c r="P175" s="320"/>
      <c r="Q175" s="317"/>
      <c r="R175" s="320"/>
    </row>
    <row r="176" spans="1:18" ht="15">
      <c r="B176" s="319"/>
      <c r="C176" s="303"/>
      <c r="D176" s="317"/>
      <c r="E176" s="320"/>
      <c r="F176" s="320"/>
      <c r="G176" s="317"/>
      <c r="H176" s="320"/>
      <c r="I176" s="317"/>
      <c r="J176" s="320"/>
      <c r="K176" s="317"/>
      <c r="L176" s="320"/>
      <c r="P176" s="320"/>
      <c r="Q176" s="317"/>
      <c r="R176" s="320"/>
    </row>
    <row r="177" spans="1:18" ht="15">
      <c r="D177" s="317"/>
      <c r="E177" s="317"/>
      <c r="F177" s="317"/>
      <c r="G177" s="317"/>
      <c r="H177" s="317"/>
      <c r="I177" s="317"/>
      <c r="J177" s="317"/>
      <c r="K177" s="317"/>
      <c r="L177" s="317"/>
      <c r="P177" s="317"/>
      <c r="Q177" s="317"/>
      <c r="R177" s="317"/>
    </row>
    <row r="178" spans="1:18" ht="15">
      <c r="B178" s="319"/>
      <c r="C178" s="303"/>
      <c r="D178" s="317"/>
      <c r="E178" s="317"/>
      <c r="F178" s="317"/>
      <c r="G178" s="317"/>
      <c r="H178" s="317"/>
      <c r="I178" s="317"/>
      <c r="J178" s="317"/>
      <c r="K178" s="317"/>
      <c r="L178" s="317"/>
      <c r="P178" s="317"/>
      <c r="Q178" s="317"/>
      <c r="R178" s="317"/>
    </row>
    <row r="179" spans="1:18" ht="15">
      <c r="D179" s="317"/>
      <c r="E179" s="317"/>
      <c r="F179" s="317"/>
      <c r="G179" s="317"/>
      <c r="H179" s="317"/>
      <c r="I179" s="317"/>
      <c r="J179" s="317"/>
      <c r="K179" s="317"/>
      <c r="L179" s="317"/>
      <c r="P179" s="317"/>
      <c r="Q179" s="317"/>
      <c r="R179" s="317"/>
    </row>
    <row r="180" spans="1:18" ht="15">
      <c r="D180" s="317"/>
      <c r="E180" s="317"/>
      <c r="F180" s="317"/>
      <c r="G180" s="317"/>
      <c r="H180" s="317"/>
      <c r="I180" s="317"/>
      <c r="J180" s="317"/>
      <c r="K180" s="317"/>
      <c r="L180" s="317"/>
      <c r="P180" s="317"/>
      <c r="Q180" s="317"/>
      <c r="R180" s="317"/>
    </row>
    <row r="181" spans="1:18" ht="15">
      <c r="D181" s="317"/>
      <c r="E181" s="317"/>
      <c r="F181" s="317"/>
      <c r="G181" s="317"/>
      <c r="H181" s="317"/>
      <c r="I181" s="317"/>
      <c r="J181" s="317"/>
      <c r="K181" s="317"/>
      <c r="L181" s="317"/>
      <c r="P181" s="317"/>
      <c r="Q181" s="317"/>
      <c r="R181" s="317"/>
    </row>
    <row r="182" spans="1:18" ht="15">
      <c r="D182" s="317"/>
      <c r="E182" s="317"/>
      <c r="F182" s="317"/>
      <c r="G182" s="317"/>
      <c r="H182" s="317"/>
      <c r="I182" s="317"/>
      <c r="J182" s="317"/>
      <c r="K182" s="317"/>
      <c r="L182" s="317"/>
      <c r="P182" s="317"/>
      <c r="Q182" s="317"/>
      <c r="R182" s="317"/>
    </row>
    <row r="183" spans="1:18">
      <c r="A183" s="321"/>
      <c r="D183" s="320"/>
      <c r="E183" s="320"/>
      <c r="F183" s="320"/>
      <c r="G183" s="320"/>
      <c r="H183" s="320"/>
      <c r="I183" s="320"/>
      <c r="J183" s="320"/>
      <c r="K183" s="320"/>
      <c r="L183" s="320"/>
      <c r="P183" s="320"/>
      <c r="Q183" s="320"/>
      <c r="R183" s="320"/>
    </row>
    <row r="184" spans="1:18">
      <c r="A184" s="321"/>
      <c r="D184" s="320"/>
      <c r="E184" s="320"/>
      <c r="F184" s="320"/>
      <c r="G184" s="320"/>
      <c r="H184" s="320"/>
      <c r="I184" s="320"/>
      <c r="J184" s="320"/>
      <c r="K184" s="320"/>
      <c r="L184" s="320"/>
      <c r="P184" s="320"/>
      <c r="Q184" s="320"/>
      <c r="R184" s="320"/>
    </row>
    <row r="185" spans="1:18">
      <c r="A185" s="321"/>
      <c r="D185" s="320"/>
      <c r="E185" s="320"/>
      <c r="F185" s="320"/>
      <c r="G185" s="320"/>
      <c r="H185" s="320"/>
      <c r="I185" s="320"/>
      <c r="J185" s="320"/>
      <c r="K185" s="320"/>
      <c r="L185" s="320"/>
      <c r="P185" s="320"/>
      <c r="Q185" s="320"/>
      <c r="R185" s="320"/>
    </row>
    <row r="186" spans="1:18" ht="15">
      <c r="D186" s="317"/>
      <c r="E186" s="317"/>
      <c r="F186" s="317"/>
      <c r="G186" s="317"/>
      <c r="H186" s="317"/>
      <c r="I186" s="317"/>
      <c r="J186" s="317"/>
      <c r="K186" s="317"/>
      <c r="L186" s="317"/>
      <c r="P186" s="317"/>
      <c r="Q186" s="317"/>
      <c r="R186" s="317"/>
    </row>
    <row r="187" spans="1:18" ht="15">
      <c r="D187" s="317"/>
      <c r="E187" s="317"/>
      <c r="F187" s="317"/>
      <c r="G187" s="317"/>
      <c r="H187" s="317"/>
      <c r="I187" s="317"/>
      <c r="J187" s="317"/>
      <c r="K187" s="317"/>
      <c r="L187" s="317"/>
      <c r="P187" s="317"/>
      <c r="Q187" s="317"/>
      <c r="R187" s="317"/>
    </row>
    <row r="188" spans="1:18" ht="15">
      <c r="D188" s="317"/>
      <c r="E188" s="317"/>
      <c r="F188" s="317"/>
      <c r="G188" s="317"/>
      <c r="H188" s="317"/>
      <c r="I188" s="317"/>
      <c r="J188" s="317"/>
      <c r="K188" s="317"/>
      <c r="L188" s="317"/>
      <c r="P188" s="317"/>
      <c r="Q188" s="317"/>
      <c r="R188" s="317"/>
    </row>
    <row r="189" spans="1:18" ht="15">
      <c r="D189" s="317"/>
      <c r="E189" s="317"/>
      <c r="F189" s="317"/>
      <c r="G189" s="317"/>
      <c r="H189" s="317"/>
      <c r="I189" s="317"/>
      <c r="J189" s="317"/>
      <c r="K189" s="317"/>
      <c r="L189" s="317"/>
      <c r="P189" s="317"/>
      <c r="Q189" s="317"/>
      <c r="R189" s="317"/>
    </row>
    <row r="190" spans="1:18" ht="15">
      <c r="D190" s="320"/>
      <c r="E190" s="317"/>
      <c r="F190" s="317"/>
      <c r="G190" s="320"/>
      <c r="H190" s="317"/>
      <c r="I190" s="320"/>
      <c r="J190" s="317"/>
      <c r="K190" s="320"/>
      <c r="L190" s="317"/>
      <c r="P190" s="317"/>
      <c r="Q190" s="320"/>
      <c r="R190" s="317"/>
    </row>
    <row r="191" spans="1:18" ht="15">
      <c r="D191" s="317"/>
      <c r="E191" s="317"/>
      <c r="F191" s="317"/>
      <c r="G191" s="317"/>
      <c r="H191" s="317"/>
      <c r="I191" s="317"/>
      <c r="J191" s="317"/>
      <c r="K191" s="317"/>
      <c r="L191" s="317"/>
      <c r="P191" s="317"/>
      <c r="Q191" s="317"/>
      <c r="R191" s="317"/>
    </row>
  </sheetData>
  <mergeCells count="6">
    <mergeCell ref="B43:C43"/>
    <mergeCell ref="J4:K4"/>
    <mergeCell ref="P4:Q4"/>
    <mergeCell ref="J5:K5"/>
    <mergeCell ref="P5:Q5"/>
    <mergeCell ref="B42:C42"/>
  </mergeCells>
  <printOptions horizontalCentered="1"/>
  <pageMargins left="0.19685039370078741" right="0.19685039370078741" top="0.39370078740157483" bottom="0.19685039370078741" header="0.51181102362204722" footer="0.51181102362204722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Geral</vt:lpstr>
      <vt:lpstr>Cronograma</vt:lpstr>
      <vt:lpstr>'Orçamento Geral'!Area_de_impressao</vt:lpstr>
      <vt:lpstr>'Orçamento Geral'!Titulos_de_impressao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vono</dc:creator>
  <cp:lastModifiedBy>Sir Daniel Esteves de Barros</cp:lastModifiedBy>
  <cp:lastPrinted>2017-09-15T14:59:38Z</cp:lastPrinted>
  <dcterms:created xsi:type="dcterms:W3CDTF">2017-09-15T14:51:56Z</dcterms:created>
  <dcterms:modified xsi:type="dcterms:W3CDTF">2017-10-04T12:03:46Z</dcterms:modified>
</cp:coreProperties>
</file>